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2760" yWindow="3405" windowWidth="12000" windowHeight="4560" tabRatio="837"/>
  </bookViews>
  <sheets>
    <sheet name="ФП на 01.12.21р" sheetId="38" r:id="rId1"/>
    <sheet name="по статтях на 01.12.2021" sheetId="41" r:id="rId2"/>
    <sheet name="комунальні" sheetId="4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Заголовки_для_печати_МИ">'[28]1993'!$A$1:$IV$3,'[28]1993'!$A$1:$A$65536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45621"/>
</workbook>
</file>

<file path=xl/calcChain.xml><?xml version="1.0" encoding="utf-8"?>
<calcChain xmlns="http://schemas.openxmlformats.org/spreadsheetml/2006/main">
  <c r="I28" i="42" l="1"/>
  <c r="I27" i="42"/>
  <c r="I26" i="42"/>
  <c r="I25" i="42"/>
  <c r="I24" i="42"/>
  <c r="I23" i="42"/>
  <c r="I22" i="42"/>
  <c r="I21" i="42"/>
  <c r="H20" i="42"/>
  <c r="G20" i="42"/>
  <c r="F20" i="42"/>
  <c r="E20" i="42"/>
  <c r="I19" i="42"/>
  <c r="I18" i="42"/>
  <c r="I17" i="42"/>
  <c r="H16" i="42"/>
  <c r="G16" i="42"/>
  <c r="F16" i="42"/>
  <c r="E16" i="42"/>
  <c r="I15" i="42"/>
  <c r="I14" i="42"/>
  <c r="H13" i="42"/>
  <c r="G13" i="42"/>
  <c r="F13" i="42"/>
  <c r="E13" i="42"/>
  <c r="I12" i="42"/>
  <c r="I11" i="42"/>
  <c r="I10" i="42"/>
  <c r="I9" i="42"/>
  <c r="I8" i="42"/>
  <c r="H7" i="42"/>
  <c r="G7" i="42"/>
  <c r="F7" i="42"/>
  <c r="E7" i="42"/>
  <c r="I7" i="42" l="1"/>
  <c r="G6" i="42"/>
  <c r="F6" i="42"/>
  <c r="H6" i="42"/>
  <c r="I20" i="42"/>
  <c r="E6" i="42"/>
  <c r="I6" i="42"/>
  <c r="I13" i="42"/>
  <c r="I16" i="42"/>
  <c r="F64" i="41"/>
  <c r="G122" i="41"/>
  <c r="F122" i="41"/>
  <c r="F40" i="41"/>
  <c r="G30" i="41"/>
  <c r="F30" i="41"/>
  <c r="F31" i="41"/>
  <c r="F27" i="41"/>
  <c r="G26" i="41"/>
  <c r="F26" i="41"/>
  <c r="G25" i="41"/>
  <c r="F25" i="41"/>
  <c r="F20" i="41"/>
  <c r="F126" i="41"/>
  <c r="G28" i="41"/>
  <c r="F28" i="41"/>
  <c r="G61" i="41"/>
  <c r="F61" i="41"/>
  <c r="G112" i="41"/>
  <c r="F22" i="41" l="1"/>
  <c r="G94" i="41" l="1"/>
  <c r="F94" i="41"/>
  <c r="F96" i="41"/>
  <c r="G96" i="41"/>
  <c r="G97" i="41"/>
  <c r="F97" i="41"/>
  <c r="G92" i="41"/>
  <c r="F92" i="41"/>
  <c r="G91" i="41"/>
  <c r="F91" i="41"/>
  <c r="G86" i="41"/>
  <c r="C86" i="41" s="1"/>
  <c r="F86" i="41"/>
  <c r="G85" i="41"/>
  <c r="F85" i="41"/>
  <c r="F84" i="41"/>
  <c r="C84" i="41" s="1"/>
  <c r="F33" i="41"/>
  <c r="C30" i="41"/>
  <c r="G29" i="41"/>
  <c r="F29" i="41"/>
  <c r="G24" i="41"/>
  <c r="F24" i="41"/>
  <c r="G80" i="41"/>
  <c r="G79" i="41" s="1"/>
  <c r="F80" i="41"/>
  <c r="F79" i="41" s="1"/>
  <c r="F123" i="41"/>
  <c r="F112" i="41"/>
  <c r="F108" i="41"/>
  <c r="C108" i="41" s="1"/>
  <c r="G105" i="41"/>
  <c r="F105" i="41"/>
  <c r="G104" i="41"/>
  <c r="F104" i="41"/>
  <c r="G103" i="41"/>
  <c r="F103" i="41"/>
  <c r="G102" i="41"/>
  <c r="F102" i="41"/>
  <c r="G100" i="41"/>
  <c r="F100" i="41"/>
  <c r="G101" i="41"/>
  <c r="F101" i="41"/>
  <c r="G43" i="41"/>
  <c r="F43" i="41"/>
  <c r="F38" i="41" s="1"/>
  <c r="G40" i="41"/>
  <c r="C40" i="41" s="1"/>
  <c r="G21" i="41"/>
  <c r="F21" i="41"/>
  <c r="E21" i="41"/>
  <c r="G17" i="41"/>
  <c r="F17" i="41"/>
  <c r="G16" i="41"/>
  <c r="F16" i="41"/>
  <c r="F12" i="41"/>
  <c r="G10" i="41"/>
  <c r="F7" i="41"/>
  <c r="F10" i="41" s="1"/>
  <c r="D130" i="41"/>
  <c r="C130" i="41" s="1"/>
  <c r="C129" i="41"/>
  <c r="C127" i="41"/>
  <c r="C126" i="41"/>
  <c r="G125" i="41"/>
  <c r="F125" i="41"/>
  <c r="E125" i="41"/>
  <c r="D125" i="41"/>
  <c r="C124" i="41"/>
  <c r="E122" i="41"/>
  <c r="C122" i="41" s="1"/>
  <c r="G121" i="41"/>
  <c r="E121" i="41"/>
  <c r="D121" i="41"/>
  <c r="G120" i="41"/>
  <c r="F120" i="41"/>
  <c r="D120" i="41"/>
  <c r="C120" i="41"/>
  <c r="G119" i="41"/>
  <c r="F119" i="41"/>
  <c r="D119" i="41"/>
  <c r="C119" i="41"/>
  <c r="G118" i="41"/>
  <c r="F118" i="41"/>
  <c r="C118" i="41" s="1"/>
  <c r="G117" i="41"/>
  <c r="G114" i="41" s="1"/>
  <c r="D117" i="41"/>
  <c r="C117" i="41" s="1"/>
  <c r="C116" i="41"/>
  <c r="C115" i="41"/>
  <c r="F114" i="41"/>
  <c r="E114" i="41"/>
  <c r="F113" i="41"/>
  <c r="E113" i="41"/>
  <c r="E111" i="41" s="1"/>
  <c r="D113" i="41"/>
  <c r="G111" i="41"/>
  <c r="C110" i="41"/>
  <c r="C109" i="41"/>
  <c r="G107" i="41"/>
  <c r="E107" i="41"/>
  <c r="D107" i="41"/>
  <c r="C106" i="41"/>
  <c r="E99" i="41"/>
  <c r="D99" i="41"/>
  <c r="C98" i="41"/>
  <c r="C95" i="41"/>
  <c r="E94" i="41"/>
  <c r="C93" i="41"/>
  <c r="E92" i="41"/>
  <c r="E91" i="41"/>
  <c r="C90" i="41"/>
  <c r="G89" i="41"/>
  <c r="C89" i="41" s="1"/>
  <c r="F89" i="41"/>
  <c r="F88" i="41"/>
  <c r="E88" i="41"/>
  <c r="C88" i="41" s="1"/>
  <c r="C87" i="41"/>
  <c r="E86" i="41"/>
  <c r="C85" i="41"/>
  <c r="C83" i="41"/>
  <c r="C82" i="41"/>
  <c r="D81" i="41"/>
  <c r="E80" i="41"/>
  <c r="E79" i="41"/>
  <c r="D79" i="41"/>
  <c r="C78" i="41"/>
  <c r="C77" i="41"/>
  <c r="G76" i="41"/>
  <c r="F76" i="41"/>
  <c r="E76" i="41"/>
  <c r="D76" i="41"/>
  <c r="C75" i="41"/>
  <c r="C74" i="41"/>
  <c r="G72" i="41"/>
  <c r="F73" i="41"/>
  <c r="E73" i="41"/>
  <c r="E72" i="41" s="1"/>
  <c r="D73" i="41"/>
  <c r="D72" i="41" s="1"/>
  <c r="C72" i="41" s="1"/>
  <c r="C73" i="41"/>
  <c r="F72" i="41"/>
  <c r="F71" i="41"/>
  <c r="F68" i="41" s="1"/>
  <c r="D71" i="41"/>
  <c r="C71" i="41" s="1"/>
  <c r="D70" i="41"/>
  <c r="C70" i="41"/>
  <c r="G69" i="41"/>
  <c r="C69" i="41" s="1"/>
  <c r="F69" i="41"/>
  <c r="E69" i="41"/>
  <c r="G68" i="41"/>
  <c r="E68" i="41"/>
  <c r="E67" i="41"/>
  <c r="C67" i="41" s="1"/>
  <c r="D67" i="41"/>
  <c r="E66" i="41"/>
  <c r="D66" i="41"/>
  <c r="C66" i="41" s="1"/>
  <c r="G65" i="41"/>
  <c r="F65" i="41"/>
  <c r="C64" i="41"/>
  <c r="G63" i="41"/>
  <c r="F63" i="41"/>
  <c r="E63" i="41"/>
  <c r="D63" i="41"/>
  <c r="C62" i="41"/>
  <c r="G60" i="41"/>
  <c r="C61" i="41"/>
  <c r="F60" i="41"/>
  <c r="E60" i="41"/>
  <c r="D60" i="41"/>
  <c r="C59" i="41"/>
  <c r="C58" i="41"/>
  <c r="C57" i="41"/>
  <c r="C56" i="41"/>
  <c r="D55" i="41"/>
  <c r="C55" i="41" s="1"/>
  <c r="C54" i="41"/>
  <c r="G53" i="41"/>
  <c r="C53" i="41"/>
  <c r="C52" i="41"/>
  <c r="C51" i="41"/>
  <c r="C50" i="41"/>
  <c r="C49" i="41"/>
  <c r="C48" i="41"/>
  <c r="C47" i="41"/>
  <c r="C46" i="41"/>
  <c r="C45" i="41"/>
  <c r="C44" i="41"/>
  <c r="C43" i="41"/>
  <c r="C42" i="41"/>
  <c r="C41" i="41"/>
  <c r="C39" i="41"/>
  <c r="E38" i="41"/>
  <c r="D38" i="41"/>
  <c r="C37" i="41"/>
  <c r="C36" i="41"/>
  <c r="E35" i="41"/>
  <c r="C35" i="41" s="1"/>
  <c r="C34" i="41"/>
  <c r="G33" i="41"/>
  <c r="E33" i="41"/>
  <c r="C33" i="41" s="1"/>
  <c r="C32" i="41"/>
  <c r="E30" i="41"/>
  <c r="E29" i="41"/>
  <c r="E28" i="41"/>
  <c r="C28" i="41" s="1"/>
  <c r="E27" i="41"/>
  <c r="C27" i="41" s="1"/>
  <c r="E26" i="41"/>
  <c r="E25" i="41"/>
  <c r="C25" i="41" s="1"/>
  <c r="E24" i="41"/>
  <c r="D23" i="41"/>
  <c r="C22" i="41"/>
  <c r="D21" i="41"/>
  <c r="C21" i="41"/>
  <c r="E20" i="41"/>
  <c r="D20" i="41"/>
  <c r="C19" i="41"/>
  <c r="D18" i="41"/>
  <c r="C18" i="41" s="1"/>
  <c r="D17" i="41"/>
  <c r="E16" i="41"/>
  <c r="D16" i="41"/>
  <c r="G15" i="41"/>
  <c r="F15" i="41"/>
  <c r="E15" i="41"/>
  <c r="C14" i="41"/>
  <c r="C13" i="41"/>
  <c r="C12" i="41"/>
  <c r="D11" i="41"/>
  <c r="D15" i="41" s="1"/>
  <c r="E10" i="41"/>
  <c r="C9" i="41"/>
  <c r="C8" i="41"/>
  <c r="D6" i="41"/>
  <c r="D10" i="41" s="1"/>
  <c r="E23" i="41" l="1"/>
  <c r="F99" i="41"/>
  <c r="E65" i="41"/>
  <c r="D68" i="41"/>
  <c r="C68" i="41" s="1"/>
  <c r="F107" i="41"/>
  <c r="C102" i="41"/>
  <c r="C104" i="41"/>
  <c r="D114" i="41"/>
  <c r="C97" i="41"/>
  <c r="C80" i="41"/>
  <c r="C113" i="41"/>
  <c r="C17" i="41"/>
  <c r="C76" i="41"/>
  <c r="C63" i="41"/>
  <c r="C125" i="41"/>
  <c r="C96" i="41"/>
  <c r="C94" i="41"/>
  <c r="C92" i="41"/>
  <c r="C91" i="41"/>
  <c r="G81" i="41"/>
  <c r="F81" i="41"/>
  <c r="G23" i="41"/>
  <c r="C31" i="41"/>
  <c r="C29" i="41"/>
  <c r="F23" i="41"/>
  <c r="C26" i="41"/>
  <c r="C24" i="41"/>
  <c r="C123" i="41"/>
  <c r="C112" i="41"/>
  <c r="C107" i="41"/>
  <c r="C105" i="41"/>
  <c r="C103" i="41"/>
  <c r="G99" i="41"/>
  <c r="C100" i="41"/>
  <c r="C101" i="41"/>
  <c r="C79" i="41"/>
  <c r="G38" i="41"/>
  <c r="C38" i="41" s="1"/>
  <c r="C20" i="41"/>
  <c r="C16" i="41"/>
  <c r="C15" i="41"/>
  <c r="C7" i="41"/>
  <c r="C10" i="41"/>
  <c r="C60" i="41"/>
  <c r="C114" i="41"/>
  <c r="C6" i="41"/>
  <c r="C11" i="41"/>
  <c r="D65" i="41"/>
  <c r="C65" i="41" s="1"/>
  <c r="E81" i="41"/>
  <c r="D111" i="41"/>
  <c r="F111" i="41"/>
  <c r="F121" i="41"/>
  <c r="C121" i="41" s="1"/>
  <c r="C134" i="41"/>
  <c r="H36" i="38"/>
  <c r="E76" i="38"/>
  <c r="E75" i="38"/>
  <c r="E74" i="38"/>
  <c r="I72" i="38"/>
  <c r="H72" i="38"/>
  <c r="G72" i="38"/>
  <c r="F72" i="38"/>
  <c r="E73" i="38"/>
  <c r="E71" i="38"/>
  <c r="E70" i="38"/>
  <c r="I68" i="38"/>
  <c r="H68" i="38"/>
  <c r="G68" i="38"/>
  <c r="F68" i="38"/>
  <c r="E69" i="38"/>
  <c r="I65" i="38"/>
  <c r="H65" i="38"/>
  <c r="G65" i="38"/>
  <c r="E67" i="38"/>
  <c r="E66" i="38"/>
  <c r="E64" i="38"/>
  <c r="E63" i="38"/>
  <c r="E62" i="38"/>
  <c r="E61" i="38"/>
  <c r="E60" i="38"/>
  <c r="I59" i="38"/>
  <c r="I58" i="38" s="1"/>
  <c r="H59" i="38"/>
  <c r="G59" i="38"/>
  <c r="F59" i="38"/>
  <c r="G58" i="38" l="1"/>
  <c r="C99" i="41"/>
  <c r="H58" i="38"/>
  <c r="F58" i="38"/>
  <c r="E128" i="41"/>
  <c r="E131" i="41" s="1"/>
  <c r="C23" i="41"/>
  <c r="F128" i="41"/>
  <c r="F131" i="41" s="1"/>
  <c r="F136" i="41" s="1"/>
  <c r="G128" i="41"/>
  <c r="G131" i="41" s="1"/>
  <c r="G136" i="41" s="1"/>
  <c r="E136" i="41"/>
  <c r="E132" i="41"/>
  <c r="C81" i="41"/>
  <c r="C111" i="41"/>
  <c r="D128" i="41"/>
  <c r="E101" i="38"/>
  <c r="E100" i="38"/>
  <c r="E99" i="38"/>
  <c r="I98" i="38"/>
  <c r="H98" i="38"/>
  <c r="G98" i="38"/>
  <c r="E95" i="38"/>
  <c r="E94" i="38"/>
  <c r="E93" i="38"/>
  <c r="E92" i="38"/>
  <c r="I91" i="38"/>
  <c r="H91" i="38"/>
  <c r="G91" i="38"/>
  <c r="E90" i="38"/>
  <c r="E89" i="38"/>
  <c r="E88" i="38"/>
  <c r="E87" i="38"/>
  <c r="I86" i="38"/>
  <c r="H86" i="38"/>
  <c r="G86" i="38"/>
  <c r="I81" i="38"/>
  <c r="H81" i="38"/>
  <c r="G81" i="38"/>
  <c r="E85" i="38"/>
  <c r="E84" i="38"/>
  <c r="E83" i="38"/>
  <c r="E82" i="38"/>
  <c r="F132" i="41" l="1"/>
  <c r="G132" i="41"/>
  <c r="D131" i="41"/>
  <c r="C128" i="41"/>
  <c r="E42" i="38"/>
  <c r="E43" i="38"/>
  <c r="D136" i="41" l="1"/>
  <c r="C136" i="41" s="1"/>
  <c r="D132" i="41"/>
  <c r="C131" i="41"/>
  <c r="C132" i="41" s="1"/>
  <c r="F41" i="38"/>
  <c r="I41" i="38"/>
  <c r="H41" i="38"/>
  <c r="G41" i="38"/>
  <c r="E91" i="38" l="1"/>
  <c r="E104" i="38"/>
  <c r="E102" i="38"/>
  <c r="H128" i="38" l="1"/>
  <c r="G128" i="38"/>
  <c r="F128" i="38"/>
  <c r="I128" i="38"/>
  <c r="E133" i="38"/>
  <c r="E132" i="38"/>
  <c r="E131" i="38"/>
  <c r="E130" i="38"/>
  <c r="E129" i="38"/>
  <c r="F98" i="38"/>
  <c r="I96" i="38"/>
  <c r="E39" i="38"/>
  <c r="I35" i="38"/>
  <c r="H35" i="38"/>
  <c r="E98" i="38" l="1"/>
  <c r="E86" i="38" l="1"/>
  <c r="E51" i="38"/>
  <c r="E50" i="38"/>
  <c r="E49" i="38"/>
  <c r="E48" i="38"/>
  <c r="E47" i="38"/>
  <c r="E46" i="38"/>
  <c r="E45" i="38"/>
  <c r="E44" i="38"/>
  <c r="E41" i="38"/>
  <c r="E40" i="38"/>
  <c r="E38" i="38"/>
  <c r="E37" i="38"/>
  <c r="E36" i="38"/>
  <c r="E167" i="38"/>
  <c r="E166" i="38"/>
  <c r="E165" i="38"/>
  <c r="E164" i="38"/>
  <c r="I163" i="38"/>
  <c r="H163" i="38"/>
  <c r="G163" i="38"/>
  <c r="F163" i="38"/>
  <c r="D163" i="38"/>
  <c r="C163" i="38"/>
  <c r="E162" i="38"/>
  <c r="E161" i="38"/>
  <c r="E160" i="38"/>
  <c r="E159" i="38"/>
  <c r="E158" i="38"/>
  <c r="E157" i="38"/>
  <c r="I156" i="38"/>
  <c r="H156" i="38"/>
  <c r="G156" i="38"/>
  <c r="F156" i="38"/>
  <c r="D156" i="38"/>
  <c r="C156" i="38"/>
  <c r="C168" i="38" s="1"/>
  <c r="E154" i="38"/>
  <c r="E153" i="38"/>
  <c r="E152" i="38"/>
  <c r="E151" i="38"/>
  <c r="E150" i="38"/>
  <c r="E149" i="38"/>
  <c r="I148" i="38"/>
  <c r="H148" i="38"/>
  <c r="G148" i="38"/>
  <c r="F148" i="38"/>
  <c r="D148" i="38"/>
  <c r="C148" i="38"/>
  <c r="E147" i="38"/>
  <c r="E146" i="38"/>
  <c r="I142" i="38"/>
  <c r="H142" i="38"/>
  <c r="G142" i="38"/>
  <c r="F142" i="38"/>
  <c r="I141" i="38"/>
  <c r="H141" i="38"/>
  <c r="G141" i="38"/>
  <c r="F141" i="38"/>
  <c r="D141" i="38"/>
  <c r="I140" i="38"/>
  <c r="H140" i="38"/>
  <c r="G140" i="38"/>
  <c r="F140" i="38"/>
  <c r="D140" i="38"/>
  <c r="E137" i="38"/>
  <c r="E136" i="38"/>
  <c r="E135" i="38"/>
  <c r="I134" i="38"/>
  <c r="H134" i="38"/>
  <c r="H168" i="38" s="1"/>
  <c r="G134" i="38"/>
  <c r="F134" i="38"/>
  <c r="D134" i="38"/>
  <c r="E128" i="38"/>
  <c r="E127" i="38"/>
  <c r="E126" i="38"/>
  <c r="E125" i="38"/>
  <c r="E124" i="38"/>
  <c r="E123" i="38"/>
  <c r="E122" i="38"/>
  <c r="E121" i="38"/>
  <c r="E120" i="38"/>
  <c r="E119" i="38"/>
  <c r="E118" i="38"/>
  <c r="E117" i="38"/>
  <c r="E116" i="38"/>
  <c r="E115" i="38"/>
  <c r="E114" i="38"/>
  <c r="E113" i="38"/>
  <c r="E112" i="38"/>
  <c r="E111" i="38"/>
  <c r="I110" i="38"/>
  <c r="H110" i="38"/>
  <c r="G110" i="38"/>
  <c r="F110" i="38"/>
  <c r="D110" i="38"/>
  <c r="C110" i="38"/>
  <c r="C169" i="38" s="1"/>
  <c r="E109" i="38"/>
  <c r="I108" i="38"/>
  <c r="I143" i="38" s="1"/>
  <c r="H108" i="38"/>
  <c r="H143" i="38" s="1"/>
  <c r="G108" i="38"/>
  <c r="G143" i="38" s="1"/>
  <c r="F108" i="38"/>
  <c r="F143" i="38" s="1"/>
  <c r="D143" i="38"/>
  <c r="E107" i="38"/>
  <c r="E105" i="38"/>
  <c r="E103" i="38"/>
  <c r="E97" i="38"/>
  <c r="E96" i="38"/>
  <c r="E81" i="38"/>
  <c r="E80" i="38"/>
  <c r="E79" i="38"/>
  <c r="E78" i="38"/>
  <c r="E77" i="38"/>
  <c r="E72" i="38"/>
  <c r="E68" i="38"/>
  <c r="E65" i="38"/>
  <c r="E59" i="38"/>
  <c r="D58" i="38"/>
  <c r="E57" i="38"/>
  <c r="E56" i="38"/>
  <c r="E55" i="38"/>
  <c r="E54" i="38"/>
  <c r="I53" i="38"/>
  <c r="H53" i="38"/>
  <c r="G53" i="38"/>
  <c r="F53" i="38"/>
  <c r="D53" i="38"/>
  <c r="C52" i="38"/>
  <c r="D41" i="38"/>
  <c r="E35" i="38"/>
  <c r="D168" i="38" l="1"/>
  <c r="F168" i="38"/>
  <c r="G168" i="38"/>
  <c r="I168" i="38"/>
  <c r="H52" i="38"/>
  <c r="H169" i="38" s="1"/>
  <c r="H170" i="38" s="1"/>
  <c r="E142" i="38"/>
  <c r="E156" i="38"/>
  <c r="D52" i="38"/>
  <c r="G139" i="38"/>
  <c r="G144" i="38" s="1"/>
  <c r="G52" i="38"/>
  <c r="G169" i="38" s="1"/>
  <c r="I139" i="38"/>
  <c r="I144" i="38" s="1"/>
  <c r="I52" i="38"/>
  <c r="I169" i="38" s="1"/>
  <c r="F52" i="38"/>
  <c r="F169" i="38" s="1"/>
  <c r="F170" i="38" s="1"/>
  <c r="D169" i="38"/>
  <c r="D139" i="38"/>
  <c r="D144" i="38" s="1"/>
  <c r="E163" i="38"/>
  <c r="H139" i="38"/>
  <c r="H144" i="38" s="1"/>
  <c r="E148" i="38"/>
  <c r="E143" i="38"/>
  <c r="E110" i="38"/>
  <c r="E141" i="38"/>
  <c r="E140" i="38"/>
  <c r="E53" i="38"/>
  <c r="E108" i="38"/>
  <c r="E134" i="38"/>
  <c r="D170" i="38" l="1"/>
  <c r="I170" i="38"/>
  <c r="E168" i="38"/>
  <c r="G170" i="38"/>
  <c r="F139" i="38"/>
  <c r="E139" i="38" s="1"/>
  <c r="E58" i="38"/>
  <c r="E52" i="38"/>
  <c r="E169" i="38"/>
  <c r="E170" i="38" l="1"/>
  <c r="F144" i="38"/>
  <c r="E144" i="38" s="1"/>
</calcChain>
</file>

<file path=xl/sharedStrings.xml><?xml version="1.0" encoding="utf-8"?>
<sst xmlns="http://schemas.openxmlformats.org/spreadsheetml/2006/main" count="367" uniqueCount="304">
  <si>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</si>
  <si>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</si>
  <si>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</si>
  <si>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Витрати на оплату праці</t>
  </si>
  <si>
    <t>Відрахування на соціальні заходи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</si>
  <si>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</si>
  <si>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</si>
  <si>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</si>
  <si>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</si>
  <si>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</si>
  <si>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</si>
  <si>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</si>
  <si>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</si>
  <si>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</si>
  <si>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</si>
  <si>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</si>
  <si>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</si>
  <si>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</si>
  <si>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Інші операційні витрати</t>
  </si>
  <si>
    <t>придбання (виготовлення) інших необоротних матеріальних активів</t>
  </si>
  <si>
    <t>витрати на службові відрядження</t>
  </si>
  <si>
    <t>модернізація, модифікація (добудова, дообладнання, реконструкція) основних засобів</t>
  </si>
  <si>
    <t xml:space="preserve">ІV </t>
  </si>
  <si>
    <t>Середньооблікова кількість штатних працівників</t>
  </si>
  <si>
    <t>інші адміністративні витрати (розшифрувати)</t>
  </si>
  <si>
    <t>Усього витрат</t>
  </si>
  <si>
    <t>за КОАТУУ</t>
  </si>
  <si>
    <t>за КОПФГ</t>
  </si>
  <si>
    <t xml:space="preserve">за ЄДРПОУ </t>
  </si>
  <si>
    <t>Собівартість реалізованої продукції (товарів, робіт, послуг)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</si>
  <si>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</si>
  <si>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</si>
  <si>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</si>
  <si>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</si>
  <si>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>Стандарти звітності П(с)БОУ</t>
  </si>
  <si>
    <t>Стандарти звітності МСФЗ</t>
  </si>
  <si>
    <t>Адміністративні витрати, у тому числі:</t>
  </si>
  <si>
    <t>Пояснення та обґрунтування до запланованого рівня доходів/витрат</t>
  </si>
  <si>
    <t>_________________________</t>
  </si>
  <si>
    <t>Коди</t>
  </si>
  <si>
    <t>Найменування показника</t>
  </si>
  <si>
    <t>капітальний ремонт</t>
  </si>
  <si>
    <t>Інші витрати (розшифрувати)</t>
  </si>
  <si>
    <t>86.21</t>
  </si>
  <si>
    <t>Керівник</t>
  </si>
  <si>
    <t>комунальна</t>
  </si>
  <si>
    <t>Х</t>
  </si>
  <si>
    <t>витрати на зв’язок та інтернет</t>
  </si>
  <si>
    <t>Витрати на водопостачання та водовідведення</t>
  </si>
  <si>
    <t>Витрати на комунальні послуги та енергоносії, в т.ч.:</t>
  </si>
  <si>
    <t>Витрати на тверде паливо</t>
  </si>
  <si>
    <t>Витрати на послуги, матеріали та сировину, в т. ч.:</t>
  </si>
  <si>
    <t>витрати на обслуговування оргтехніки</t>
  </si>
  <si>
    <t>Супровід програми 1С, Лідер, Медок</t>
  </si>
  <si>
    <t>РЕМ + газ</t>
  </si>
  <si>
    <t>Інші доходи від операційної діяльності, в т.ч.:</t>
  </si>
  <si>
    <t>I. Фінансові результати</t>
  </si>
  <si>
    <t>Проект</t>
  </si>
  <si>
    <t>Попередній</t>
  </si>
  <si>
    <t>Уточнений</t>
  </si>
  <si>
    <t>Зміни</t>
  </si>
  <si>
    <t>зробити позначку "Х"</t>
  </si>
  <si>
    <t>Дохід (виручка) від реалізації продукції (товарів, робіт, послуг)</t>
  </si>
  <si>
    <t>тис. грн.</t>
  </si>
  <si>
    <t>Витрати на паливо-мастильні матеріали</t>
  </si>
  <si>
    <t>Амортизація</t>
  </si>
  <si>
    <t>дохід від операційної оренди активів</t>
  </si>
  <si>
    <t>дохід від реалізації необоротних активів</t>
  </si>
  <si>
    <t>Капітальні інвестиції, усього, у тому числі:</t>
  </si>
  <si>
    <t>Інші витрати від операційної діяльності (розшифрувати)</t>
  </si>
  <si>
    <t>Доходи і витрати від операційної діяльності (деталізація)</t>
  </si>
  <si>
    <t>ІІ. Елементи операційних витрат</t>
  </si>
  <si>
    <t>Матеріальні затрати</t>
  </si>
  <si>
    <t>витрати на охорону праці та навчання працівників</t>
  </si>
  <si>
    <t>надходження в натуральній формі</t>
  </si>
  <si>
    <t>Разом (сума рядків 400 - 440)</t>
  </si>
  <si>
    <t>доходи з місцевого бюджету цільового фінансування по капітальних видатках</t>
  </si>
  <si>
    <t>ІІІ. Інвестиційна діяльність</t>
  </si>
  <si>
    <t>Нерозподілені доходи</t>
  </si>
  <si>
    <t>IV. Додаткова інформація</t>
  </si>
  <si>
    <t>"ЗАТВЕРДЖЕНО"</t>
  </si>
  <si>
    <t>медикаменти та перев’язувальні матеріали</t>
  </si>
  <si>
    <t>ІV. Фінансова діяльність</t>
  </si>
  <si>
    <t>Доходи від інвестиційної діяльності, у т.ч.: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</si>
  <si>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</si>
  <si>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</si>
  <si>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</si>
  <si>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</si>
  <si>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</si>
  <si>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</si>
  <si>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витрати на придбання та супровід програмного забезпечення</t>
  </si>
  <si>
    <t>юридичні та нотаріальні послуги</t>
  </si>
  <si>
    <t>Штатна чисельність працівників</t>
  </si>
  <si>
    <t>Підписка на періодичні видання (5) + штрафи, пені, неустойки (1,5+1,5), митні платежі (0,3+0,3), РКО (0,5 + 0,5), поштові та кур’єрські послуги (1,2 + 0,7)</t>
  </si>
  <si>
    <t>страхування авто</t>
  </si>
  <si>
    <t>витрати на канцтовари, офісне приладдя та устаткування</t>
  </si>
  <si>
    <t>Заборгованість перед працівниками за заробітною платою</t>
  </si>
  <si>
    <t>Витрати на теплопостачання</t>
  </si>
  <si>
    <t>бланкова продукція</t>
  </si>
  <si>
    <t>Обладнання та інші малоцінні предмети</t>
  </si>
  <si>
    <t>Електротовари</t>
  </si>
  <si>
    <t xml:space="preserve"> Поточний ремонт</t>
  </si>
  <si>
    <t>Витрати на отримання ліцензії</t>
  </si>
  <si>
    <t>поточ.рем+ бензин+пільгові</t>
  </si>
  <si>
    <t>оплата праці</t>
  </si>
  <si>
    <t>навчання ох.пр., тендер</t>
  </si>
  <si>
    <t>оренда</t>
  </si>
  <si>
    <t>лампочки, ел.тов</t>
  </si>
  <si>
    <t>заправка картриджа</t>
  </si>
  <si>
    <t>Шепетівський район</t>
  </si>
  <si>
    <t>Нечипорук Андрій Григорович</t>
  </si>
  <si>
    <t>Дохід з місцевого бюджету цільового фінансування на оплату комунальних послуг та енергоносіїв</t>
  </si>
  <si>
    <t xml:space="preserve"> </t>
  </si>
  <si>
    <t>господарчі товари та інвентар, меблі</t>
  </si>
  <si>
    <t>на 1.01</t>
  </si>
  <si>
    <t>Матеріальна допомога на оздоровлення</t>
  </si>
  <si>
    <t>Витрати на природній газ</t>
  </si>
  <si>
    <t>на 1.04</t>
  </si>
  <si>
    <t>на 1.07</t>
  </si>
  <si>
    <t>на 1.10</t>
  </si>
  <si>
    <t>витрати на технічне обслуговування,реєстрація касового апарату, експертиза БТІ, копія техпаспорта, послуги по охороні</t>
  </si>
  <si>
    <t>витрати на страхові послуги, послуги газ-сервіс-інтерм, лабораторні дослідження</t>
  </si>
  <si>
    <t>(03840) 4-01-73</t>
  </si>
  <si>
    <t>періодичні видання</t>
  </si>
  <si>
    <t>банківські послуги</t>
  </si>
  <si>
    <t>запасні частини до транспортних засобів</t>
  </si>
  <si>
    <t>Дохід   за цільовими програмами, у тому числі:</t>
  </si>
  <si>
    <t xml:space="preserve"> Витрати для проведення утилізації  ліків</t>
  </si>
  <si>
    <t>Витрати на електроенергію, реактивна електроенергія</t>
  </si>
  <si>
    <t>Видатки</t>
  </si>
  <si>
    <t>суборенда приміщення</t>
  </si>
  <si>
    <r>
      <t xml:space="preserve">ФІНАНСОВИЙ ПЛАН ПІДПРИЄМСТВА НА </t>
    </r>
    <r>
      <rPr>
        <b/>
        <u/>
        <sz val="12"/>
        <rFont val="Times New Roman"/>
        <family val="1"/>
        <charset val="204"/>
      </rPr>
      <t xml:space="preserve"> 2021</t>
    </r>
    <r>
      <rPr>
        <b/>
        <sz val="12"/>
        <rFont val="Times New Roman"/>
        <family val="1"/>
        <charset val="204"/>
      </rPr>
      <t>рік</t>
    </r>
  </si>
  <si>
    <t>придбання сантехніки</t>
  </si>
  <si>
    <t>Одиниця виміру,  тис.грн.</t>
  </si>
  <si>
    <t>Комунальне підприємство</t>
  </si>
  <si>
    <t>Проведення утилізації ліків (Плесна ОТГ)</t>
  </si>
  <si>
    <t>Надходження від грантового проекту</t>
  </si>
  <si>
    <t>Іншівитрати від Грантового проекту</t>
  </si>
  <si>
    <r>
      <t xml:space="preserve">Орган державного управління  </t>
    </r>
    <r>
      <rPr>
        <b/>
        <i/>
        <sz val="10"/>
        <rFont val="Times New Roman"/>
        <family val="1"/>
        <charset val="204"/>
      </rPr>
      <t xml:space="preserve"> </t>
    </r>
  </si>
  <si>
    <r>
      <t xml:space="preserve">Керівник </t>
    </r>
    <r>
      <rPr>
        <sz val="10"/>
        <rFont val="Times New Roman"/>
        <family val="1"/>
        <charset val="204"/>
      </rPr>
      <t>___</t>
    </r>
    <r>
      <rPr>
        <u/>
        <sz val="10"/>
        <rFont val="Times New Roman"/>
        <family val="1"/>
        <charset val="204"/>
      </rPr>
      <t>Головний лікар</t>
    </r>
    <r>
      <rPr>
        <sz val="10"/>
        <rFont val="Times New Roman"/>
        <family val="1"/>
        <charset val="204"/>
      </rPr>
      <t>__________________</t>
    </r>
  </si>
  <si>
    <t>Витрати, що здійснюються для підтримання об’єкта в роб. стані (проведення ремонту мед.обладнання)</t>
  </si>
  <si>
    <t>медичне страхування працівників</t>
  </si>
  <si>
    <t>Договір №4495-Е421-Р000(мобільна паліативна мед.допомога )</t>
  </si>
  <si>
    <t>Договір №4495-Е421-Р000(супровід та лікування хворих на туберкульоз на первинному рівні мед.допомоги )</t>
  </si>
  <si>
    <t>Договір №1339-Е421-Р000(вакцинація COVID-19 )</t>
  </si>
  <si>
    <t>Програма " Медичне забезпечення хворих пільгових та соціально - незахищених верств населення Шепетівського району у разі амбулаторного лікування на 2021рік"</t>
  </si>
  <si>
    <t>оренда приміщення</t>
  </si>
  <si>
    <t>Михайлючка ОТГ</t>
  </si>
  <si>
    <t>Судилків ОТГ</t>
  </si>
  <si>
    <r>
      <t xml:space="preserve">Програма фінансової підтримки (комунальні+ поліативна допомога+ПММ на перевезення діалізних хворих) </t>
    </r>
    <r>
      <rPr>
        <b/>
        <sz val="10"/>
        <rFont val="Times New Roman"/>
        <family val="1"/>
        <charset val="204"/>
      </rPr>
      <t xml:space="preserve"> Судилківська ОТГ</t>
    </r>
  </si>
  <si>
    <r>
      <t xml:space="preserve">Програма фінансової підтримки (  комунальні+поліативна допомога+ПММ на перевезення діалізних хворих) </t>
    </r>
    <r>
      <rPr>
        <b/>
        <sz val="10"/>
        <rFont val="Times New Roman"/>
        <family val="1"/>
        <charset val="204"/>
      </rPr>
      <t>Михайлюцька ОТГ</t>
    </r>
  </si>
  <si>
    <r>
      <t xml:space="preserve">Програма фінансової підтримки (комунальні+ поліативна допомога+ПММ на перевезення діалізних хворих)  </t>
    </r>
    <r>
      <rPr>
        <b/>
        <sz val="10"/>
        <rFont val="Times New Roman"/>
        <family val="1"/>
        <charset val="204"/>
      </rPr>
      <t>Ленковецької ОТГ</t>
    </r>
  </si>
  <si>
    <r>
      <t xml:space="preserve">Програма фінансової підтримки (комунальні+ поліативна допомога+ПММ на перевезення діалізних хворих)  </t>
    </r>
    <r>
      <rPr>
        <b/>
        <sz val="10"/>
        <rFont val="Times New Roman"/>
        <family val="1"/>
        <charset val="204"/>
      </rPr>
      <t>Грицівська ОТГ</t>
    </r>
  </si>
  <si>
    <t>Придбання пального для довозу хворих нефрологічного профілю (Шепетівка)</t>
  </si>
  <si>
    <t>Спонсорська допомога (благодійна)</t>
  </si>
  <si>
    <t>Відшкодування зарплати лікарям - інтернам</t>
  </si>
  <si>
    <t>придбання електронних ключів</t>
  </si>
  <si>
    <t>Витрати на придбання лік. засобів пільговим категоріям населенням (Аптека)</t>
  </si>
  <si>
    <t>Фін.план  уточнений (усього)</t>
  </si>
  <si>
    <t>Фін. план на 01.01.2021року</t>
  </si>
  <si>
    <t>30411, Хмельницька обл., м. Шепетівка</t>
  </si>
  <si>
    <t>х</t>
  </si>
  <si>
    <t>Витрати по відшкодуванню лікарських засобів пільговим категоріям населення (по програмах ОТГ)</t>
  </si>
  <si>
    <t>Витрати для придбання ПММ для перевезення діалізних хворих ( по програмах ОТГ)</t>
  </si>
  <si>
    <t>Витрати на придбання засобів індивідуального захисту та дез.засобів ( по програмах ОТГ)</t>
  </si>
  <si>
    <t>нарахування на заробітну плату</t>
  </si>
  <si>
    <t>нарахування на матеріальну допомогу</t>
  </si>
  <si>
    <t>КП "КНП Шепетівський Центр ПМСД" Шепетівської міської ради Хмельницької області</t>
  </si>
  <si>
    <t>Судилківська ОТГ</t>
  </si>
  <si>
    <t>Ленківці ОТГ</t>
  </si>
  <si>
    <t>Гриців ОТГ</t>
  </si>
  <si>
    <t>Придбання обладнання і предметів довгострокового користування, поточний ремонт(по програмах ОТГ)</t>
  </si>
  <si>
    <t>кошти НСЗУ</t>
  </si>
  <si>
    <t>Додаток</t>
  </si>
  <si>
    <t>КП " КНП Шепетівський Центр ПМСД"</t>
  </si>
  <si>
    <t>(грн.)</t>
  </si>
  <si>
    <t>назва</t>
  </si>
  <si>
    <t>рядок</t>
  </si>
  <si>
    <t>сума,грн</t>
  </si>
  <si>
    <t>І кв</t>
  </si>
  <si>
    <t>ІІ кв</t>
  </si>
  <si>
    <t>ІІІ кв</t>
  </si>
  <si>
    <t>IV кв</t>
  </si>
  <si>
    <t>Оплата праці (виробнича)</t>
  </si>
  <si>
    <t>паліативна допомога</t>
  </si>
  <si>
    <t>вакцинація</t>
  </si>
  <si>
    <t>супровід туберк.хворих</t>
  </si>
  <si>
    <t>всього виробнича з-та</t>
  </si>
  <si>
    <t>Нарахування на зарплату</t>
  </si>
  <si>
    <t>всього нарахування</t>
  </si>
  <si>
    <t>Оплата праці (адмін)</t>
  </si>
  <si>
    <t>матеріальна допом.на оздоровлення</t>
  </si>
  <si>
    <t>нарахування на мат.доп.</t>
  </si>
  <si>
    <t>медикаменти та перев'язувальні матеріали</t>
  </si>
  <si>
    <t xml:space="preserve"> запасні частини до транспортних засобів</t>
  </si>
  <si>
    <t>запасні частини</t>
  </si>
  <si>
    <t>господарські товари та інвентар</t>
  </si>
  <si>
    <t>в т.ч. миючі засоби</t>
  </si>
  <si>
    <t>госп інвентар, товари</t>
  </si>
  <si>
    <t>будівельні матеріали</t>
  </si>
  <si>
    <t>шифер,цегла,цемент,жесть,дюбеля,гіпсокартон,плитка</t>
  </si>
  <si>
    <t>Плитка на стіну</t>
  </si>
  <si>
    <t>м/п вікна</t>
  </si>
  <si>
    <t>м/п двері</t>
  </si>
  <si>
    <t>матеріали для опалення</t>
  </si>
  <si>
    <t>Закупка вогнегасників ВП-5, ВВК-2</t>
  </si>
  <si>
    <t>меблі</t>
  </si>
  <si>
    <t>скамейка</t>
  </si>
  <si>
    <t>конверти,марки</t>
  </si>
  <si>
    <t>стенди</t>
  </si>
  <si>
    <t>придбання печатки,банери,логотип на машини</t>
  </si>
  <si>
    <t>витрати на паливно-мастильні матеріали</t>
  </si>
  <si>
    <t>бензин</t>
  </si>
  <si>
    <t>газ</t>
  </si>
  <si>
    <t>дизельне пальне</t>
  </si>
  <si>
    <t>мастильні матеріали</t>
  </si>
  <si>
    <t>Витрати на отримання ліцензій</t>
  </si>
  <si>
    <t>Витрати на придб. лік.засобів пільговим категоріям насел. (по програмам)</t>
  </si>
  <si>
    <t>ПММ для перевезення діалізних хворих (по програмах)</t>
  </si>
  <si>
    <t>Витрати на придбання туберкуліну, вир.мед.признач. (по програмам)</t>
  </si>
  <si>
    <t xml:space="preserve"> Витрати для проведення утилізації  медичних припаратів</t>
  </si>
  <si>
    <t>Придбання обладнання і предметів довгострокового користування, поточний ремонт (по програмах)</t>
  </si>
  <si>
    <t>Проведення ремонту, нагляду, обслуговування</t>
  </si>
  <si>
    <t>проведення ремонту мед.обладнання</t>
  </si>
  <si>
    <t>Інші витрати</t>
  </si>
  <si>
    <t>сантехніка</t>
  </si>
  <si>
    <t>Витрати на канцтовари, офісне приладдя та устаткування</t>
  </si>
  <si>
    <t>канцтовари</t>
  </si>
  <si>
    <t>папір для друку</t>
  </si>
  <si>
    <t>Витрати на страхові послуги, послуги газсервіс інтерм, лабораторні дослідження</t>
  </si>
  <si>
    <t xml:space="preserve">Послуги газсервіс інтерм </t>
  </si>
  <si>
    <t xml:space="preserve"> лабораторні дослідження</t>
  </si>
  <si>
    <t>страхові послуги</t>
  </si>
  <si>
    <t>Витрати на придбання та супровід програмного забезпечення</t>
  </si>
  <si>
    <t>медична інформаційна сиситема(хелсі)</t>
  </si>
  <si>
    <t>в т.ч. медок, з/п, кадри, статисти</t>
  </si>
  <si>
    <t>Витрати на службові відрядження</t>
  </si>
  <si>
    <t>Витрати на зв'язок та інтернет</t>
  </si>
  <si>
    <t>в т.ч. інтернет</t>
  </si>
  <si>
    <t>телефон</t>
  </si>
  <si>
    <t>Витрати на обслуговування оргтехніки</t>
  </si>
  <si>
    <t>ремонт компп'ютерної та оргтехніки</t>
  </si>
  <si>
    <t>Витрати на технічне обслуговування</t>
  </si>
  <si>
    <t>Перевірка вентиляційних та димових каналів</t>
  </si>
  <si>
    <t>Перезарядка та діагностування вогнегасників</t>
  </si>
  <si>
    <t>Витрати на технічне обслуговування автомобілів</t>
  </si>
  <si>
    <t>Технічне обслуговування РРО</t>
  </si>
  <si>
    <t>Послуги БТІІ(копія технічного паспорта)</t>
  </si>
  <si>
    <t>Послуги з ремонту і технічного обслуговування вимірювальних приладів</t>
  </si>
  <si>
    <t>Послуги охорони</t>
  </si>
  <si>
    <t>Перевірка пожежних гідрантів,кранів, заземлення</t>
  </si>
  <si>
    <t>Витрати на поточний ремонт  грубки</t>
  </si>
  <si>
    <t>Послуги з системи Експерт головбух</t>
  </si>
  <si>
    <t>послуги по ремонту теплосистеми</t>
  </si>
  <si>
    <t>монтаж стельової системи</t>
  </si>
  <si>
    <t>ремонт автомобіля</t>
  </si>
  <si>
    <t>ремонт авто (паліативна доп)</t>
  </si>
  <si>
    <t>Бланкова продукція</t>
  </si>
  <si>
    <t>тонер</t>
  </si>
  <si>
    <t>фотобарабан, магнітний вал</t>
  </si>
  <si>
    <t>фарба до принтерів</t>
  </si>
  <si>
    <t>Вали первинної зарядки</t>
  </si>
  <si>
    <t>Роутер</t>
  </si>
  <si>
    <t>комп'ютерні комплектуючі</t>
  </si>
  <si>
    <t>картрідж струменевий</t>
  </si>
  <si>
    <t>провода, світільники, лампочки, електровимикачи</t>
  </si>
  <si>
    <t>інформаційне забезпечення заходів з охорони праці ,оголошення</t>
  </si>
  <si>
    <t>навчання працівників</t>
  </si>
  <si>
    <t>Інші адміністративні витрати</t>
  </si>
  <si>
    <t>оренда авто</t>
  </si>
  <si>
    <t>електроний ключ,ключі лікарям</t>
  </si>
  <si>
    <t>Придбання основних засобів</t>
  </si>
  <si>
    <t>комп'ютерна техніка</t>
  </si>
  <si>
    <t xml:space="preserve">медичне обладнання </t>
  </si>
  <si>
    <t>медичне обладнання (паліативна доп.)</t>
  </si>
  <si>
    <t>Придбання інших необоротніх матеріальних активів</t>
  </si>
  <si>
    <t>рушники, простирадло</t>
  </si>
  <si>
    <t>велосипеди</t>
  </si>
  <si>
    <t>Всього</t>
  </si>
  <si>
    <t>комунальні</t>
  </si>
  <si>
    <t>видатки  ( благодійна допомога)</t>
  </si>
  <si>
    <t>РАЗОМ ВИДАТКІВ</t>
  </si>
  <si>
    <t>фінансовий результат</t>
  </si>
  <si>
    <t>дохід</t>
  </si>
  <si>
    <t>нерозподілені прибутки</t>
  </si>
  <si>
    <t>Головний лікар                                                                                                А. Нечипорук</t>
  </si>
  <si>
    <t>Заступник головного лікаря з економічних питань                                                  Н. Дзяворук</t>
  </si>
  <si>
    <t>до рішення виконавчого комітету Шепетівської міської ради</t>
  </si>
  <si>
    <t>Ікв.</t>
  </si>
  <si>
    <t>ІІкв.</t>
  </si>
  <si>
    <t>ІІІкв.</t>
  </si>
  <si>
    <t>Разом</t>
  </si>
  <si>
    <t>Витрати на комунальні послуги та енергоносіі в т.ч.:</t>
  </si>
  <si>
    <t>Витрати на електроенергію , реактивна електроенергія</t>
  </si>
  <si>
    <t>Витрати на водопостачання            і водовідведення</t>
  </si>
  <si>
    <t xml:space="preserve">Витрати на комунальні послуги та енергоносіі </t>
  </si>
  <si>
    <t>ІVкв.</t>
  </si>
  <si>
    <t>Розрахунок витрат до фінансового плану на 01.12.2021 рік</t>
  </si>
  <si>
    <t>на 01.12.2021р</t>
  </si>
  <si>
    <t>станом на 01.12.2021року</t>
  </si>
  <si>
    <t>від 30.12.2021  №456</t>
  </si>
  <si>
    <t>Керуючий справами виконавчого комітету міської ради</t>
  </si>
  <si>
    <t>Наталія БІЛАС</t>
  </si>
  <si>
    <t>Андрій НЕЧИПОРУК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</si>
</sst>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#,##0.0"/>
    <numFmt numFmtId="170" formatCode="###\ ##0.000"/>
    <numFmt numFmtId="171" formatCode="_(&quot;$&quot;* #,##0.00_);_(&quot;$&quot;* \(#,##0.00\);_(&quot;$&quot;* &quot;-&quot;??_);_(@_)"/>
    <numFmt numFmtId="172" formatCode="_(* #,##0_);_(* \(#,##0\);_(* &quot;-&quot;_);_(@_)"/>
    <numFmt numFmtId="173" formatCode="_(* #,##0.00_);_(* \(#,##0.00\);_(* &quot;-&quot;??_);_(@_)"/>
    <numFmt numFmtId="174" formatCode="#,##0.0_ ;[Red]\-#,##0.0\ "/>
    <numFmt numFmtId="175" formatCode="0.0;\(0.0\);\ ;\-"/>
    <numFmt numFmtId="176" formatCode="_(* #,##0.0_);_(* \(#,##0.0\);_(* &quot;-&quot;_);_(@_)"/>
    <numFmt numFmtId="177" formatCode="_(* #,##0.00_);_(* \(#,##0.00\);_(* &quot;-&quot;_);_(@_)"/>
    <numFmt numFmtId="178" formatCode="0.0"/>
  </numFmts>
  <fonts count="87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Arial Cyr"/>
      <charset val="204"/>
    </font>
    <font>
      <b/>
      <i/>
      <sz val="10"/>
      <name val="Arial Cyr"/>
      <charset val="204"/>
    </font>
    <font>
      <b/>
      <i/>
      <sz val="10"/>
      <name val="Arial"/>
      <family val="2"/>
      <charset val="204"/>
    </font>
    <font>
      <sz val="10"/>
      <name val="Algerian"/>
      <family val="5"/>
    </font>
    <font>
      <sz val="10"/>
      <color indexed="1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b/>
      <i/>
      <sz val="12"/>
      <name val="Arial Cyr"/>
      <charset val="204"/>
    </font>
    <font>
      <b/>
      <sz val="14"/>
      <name val="Arial Cyr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52">
    <xf numFmtId="0" fontId="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3" fillId="2" borderId="0" applyNumberFormat="0" applyBorder="0" applyAlignment="0" applyProtection="0"/>
    <xf numFmtId="0" fontId="1" fillId="2" borderId="0" applyNumberFormat="0" applyBorder="0" applyAlignment="0" applyProtection="0"/>
    <xf numFmtId="0" fontId="23" fillId="3" borderId="0" applyNumberFormat="0" applyBorder="0" applyAlignment="0" applyProtection="0"/>
    <xf numFmtId="0" fontId="1" fillId="3" borderId="0" applyNumberFormat="0" applyBorder="0" applyAlignment="0" applyProtection="0"/>
    <xf numFmtId="0" fontId="23" fillId="4" borderId="0" applyNumberFormat="0" applyBorder="0" applyAlignment="0" applyProtection="0"/>
    <xf numFmtId="0" fontId="1" fillId="4" borderId="0" applyNumberFormat="0" applyBorder="0" applyAlignment="0" applyProtection="0"/>
    <xf numFmtId="0" fontId="23" fillId="5" borderId="0" applyNumberFormat="0" applyBorder="0" applyAlignment="0" applyProtection="0"/>
    <xf numFmtId="0" fontId="1" fillId="5" borderId="0" applyNumberFormat="0" applyBorder="0" applyAlignment="0" applyProtection="0"/>
    <xf numFmtId="0" fontId="23" fillId="6" borderId="0" applyNumberFormat="0" applyBorder="0" applyAlignment="0" applyProtection="0"/>
    <xf numFmtId="0" fontId="1" fillId="6" borderId="0" applyNumberFormat="0" applyBorder="0" applyAlignment="0" applyProtection="0"/>
    <xf numFmtId="0" fontId="2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3" fillId="8" borderId="0" applyNumberFormat="0" applyBorder="0" applyAlignment="0" applyProtection="0"/>
    <xf numFmtId="0" fontId="1" fillId="8" borderId="0" applyNumberFormat="0" applyBorder="0" applyAlignment="0" applyProtection="0"/>
    <xf numFmtId="0" fontId="23" fillId="9" borderId="0" applyNumberFormat="0" applyBorder="0" applyAlignment="0" applyProtection="0"/>
    <xf numFmtId="0" fontId="1" fillId="9" borderId="0" applyNumberFormat="0" applyBorder="0" applyAlignment="0" applyProtection="0"/>
    <xf numFmtId="0" fontId="23" fillId="10" borderId="0" applyNumberFormat="0" applyBorder="0" applyAlignment="0" applyProtection="0"/>
    <xf numFmtId="0" fontId="1" fillId="10" borderId="0" applyNumberFormat="0" applyBorder="0" applyAlignment="0" applyProtection="0"/>
    <xf numFmtId="0" fontId="23" fillId="5" borderId="0" applyNumberFormat="0" applyBorder="0" applyAlignment="0" applyProtection="0"/>
    <xf numFmtId="0" fontId="1" fillId="5" borderId="0" applyNumberFormat="0" applyBorder="0" applyAlignment="0" applyProtection="0"/>
    <xf numFmtId="0" fontId="23" fillId="8" borderId="0" applyNumberFormat="0" applyBorder="0" applyAlignment="0" applyProtection="0"/>
    <xf numFmtId="0" fontId="1" fillId="8" borderId="0" applyNumberFormat="0" applyBorder="0" applyAlignment="0" applyProtection="0"/>
    <xf numFmtId="0" fontId="23" fillId="11" borderId="0" applyNumberFormat="0" applyBorder="0" applyAlignment="0" applyProtection="0"/>
    <xf numFmtId="0" fontId="1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4" fillId="12" borderId="0" applyNumberFormat="0" applyBorder="0" applyAlignment="0" applyProtection="0"/>
    <xf numFmtId="0" fontId="6" fillId="12" borderId="0" applyNumberFormat="0" applyBorder="0" applyAlignment="0" applyProtection="0"/>
    <xf numFmtId="0" fontId="24" fillId="9" borderId="0" applyNumberFormat="0" applyBorder="0" applyAlignment="0" applyProtection="0"/>
    <xf numFmtId="0" fontId="6" fillId="9" borderId="0" applyNumberFormat="0" applyBorder="0" applyAlignment="0" applyProtection="0"/>
    <xf numFmtId="0" fontId="24" fillId="10" borderId="0" applyNumberFormat="0" applyBorder="0" applyAlignment="0" applyProtection="0"/>
    <xf numFmtId="0" fontId="6" fillId="10" borderId="0" applyNumberFormat="0" applyBorder="0" applyAlignment="0" applyProtection="0"/>
    <xf numFmtId="0" fontId="24" fillId="13" borderId="0" applyNumberFormat="0" applyBorder="0" applyAlignment="0" applyProtection="0"/>
    <xf numFmtId="0" fontId="6" fillId="13" borderId="0" applyNumberFormat="0" applyBorder="0" applyAlignment="0" applyProtection="0"/>
    <xf numFmtId="0" fontId="24" fillId="14" borderId="0" applyNumberFormat="0" applyBorder="0" applyAlignment="0" applyProtection="0"/>
    <xf numFmtId="0" fontId="6" fillId="14" borderId="0" applyNumberFormat="0" applyBorder="0" applyAlignment="0" applyProtection="0"/>
    <xf numFmtId="0" fontId="24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17" fillId="3" borderId="0" applyNumberFormat="0" applyBorder="0" applyAlignment="0" applyProtection="0"/>
    <xf numFmtId="0" fontId="9" fillId="20" borderId="1" applyNumberFormat="0" applyAlignment="0" applyProtection="0"/>
    <xf numFmtId="0" fontId="14" fillId="21" borderId="2" applyNumberFormat="0" applyAlignment="0" applyProtection="0"/>
    <xf numFmtId="49" fontId="25" fillId="0" borderId="3">
      <alignment horizontal="center" vertical="center"/>
      <protection locked="0"/>
    </xf>
    <xf numFmtId="49" fontId="25" fillId="0" borderId="3">
      <alignment horizontal="center" vertical="center"/>
      <protection locked="0"/>
    </xf>
    <xf numFmtId="49" fontId="25" fillId="0" borderId="3">
      <alignment horizontal="center" vertical="center"/>
      <protection locked="0"/>
    </xf>
    <xf numFmtId="49" fontId="25" fillId="0" borderId="3">
      <alignment horizontal="center" vertical="center"/>
      <protection locked="0"/>
    </xf>
    <xf numFmtId="49" fontId="25" fillId="0" borderId="3">
      <alignment horizontal="center" vertical="center"/>
      <protection locked="0"/>
    </xf>
    <xf numFmtId="49" fontId="25" fillId="0" borderId="3">
      <alignment horizontal="center" vertical="center"/>
      <protection locked="0"/>
    </xf>
    <xf numFmtId="49" fontId="25" fillId="0" borderId="3">
      <alignment horizontal="center" vertical="center"/>
      <protection locked="0"/>
    </xf>
    <xf numFmtId="49" fontId="25" fillId="0" borderId="3">
      <alignment horizontal="center" vertical="center"/>
      <protection locked="0"/>
    </xf>
    <xf numFmtId="49" fontId="25" fillId="0" borderId="3">
      <alignment horizontal="center" vertical="center"/>
      <protection locked="0"/>
    </xf>
    <xf numFmtId="49" fontId="25" fillId="0" borderId="3">
      <alignment horizontal="center" vertical="center"/>
      <protection locked="0"/>
    </xf>
    <xf numFmtId="49" fontId="25" fillId="0" borderId="3">
      <alignment horizontal="center" vertical="center"/>
      <protection locked="0"/>
    </xf>
    <xf numFmtId="49" fontId="25" fillId="0" borderId="3">
      <alignment horizontal="center" vertical="center"/>
      <protection locked="0"/>
    </xf>
    <xf numFmtId="49" fontId="25" fillId="0" borderId="3">
      <alignment horizontal="center" vertical="center"/>
      <protection locked="0"/>
    </xf>
    <xf numFmtId="167" fontId="4" fillId="0" borderId="0" applyFont="0" applyFill="0" applyBorder="0" applyAlignment="0" applyProtection="0"/>
    <xf numFmtId="49" fontId="4" fillId="0" borderId="3">
      <alignment horizontal="left" vertical="center"/>
      <protection locked="0"/>
    </xf>
    <xf numFmtId="49" fontId="4" fillId="0" borderId="3">
      <alignment horizontal="left" vertical="center"/>
      <protection locked="0"/>
    </xf>
    <xf numFmtId="49" fontId="4" fillId="0" borderId="3">
      <alignment horizontal="left" vertical="center"/>
      <protection locked="0"/>
    </xf>
    <xf numFmtId="49" fontId="4" fillId="0" borderId="3">
      <alignment horizontal="left" vertical="center"/>
      <protection locked="0"/>
    </xf>
    <xf numFmtId="49" fontId="4" fillId="0" borderId="3">
      <alignment horizontal="left" vertical="center"/>
      <protection locked="0"/>
    </xf>
    <xf numFmtId="49" fontId="4" fillId="0" borderId="3">
      <alignment horizontal="left" vertical="center"/>
      <protection locked="0"/>
    </xf>
    <xf numFmtId="49" fontId="4" fillId="0" borderId="3">
      <alignment horizontal="left" vertical="center"/>
      <protection locked="0"/>
    </xf>
    <xf numFmtId="49" fontId="4" fillId="0" borderId="3">
      <alignment horizontal="left" vertical="center"/>
      <protection locked="0"/>
    </xf>
    <xf numFmtId="49" fontId="4" fillId="0" borderId="3">
      <alignment horizontal="left" vertical="center"/>
      <protection locked="0"/>
    </xf>
    <xf numFmtId="49" fontId="4" fillId="0" borderId="3">
      <alignment horizontal="left" vertical="center"/>
      <protection locked="0"/>
    </xf>
    <xf numFmtId="49" fontId="4" fillId="0" borderId="3">
      <alignment horizontal="left" vertical="center"/>
      <protection locked="0"/>
    </xf>
    <xf numFmtId="49" fontId="4" fillId="0" borderId="3">
      <alignment horizontal="left" vertical="center"/>
      <protection locked="0"/>
    </xf>
    <xf numFmtId="49" fontId="4" fillId="0" borderId="3">
      <alignment horizontal="left" vertical="center"/>
      <protection locked="0"/>
    </xf>
    <xf numFmtId="49" fontId="4" fillId="0" borderId="3">
      <alignment horizontal="left" vertical="center"/>
      <protection locked="0"/>
    </xf>
    <xf numFmtId="49" fontId="4" fillId="0" borderId="3">
      <alignment horizontal="left" vertical="center"/>
      <protection locked="0"/>
    </xf>
    <xf numFmtId="49" fontId="4" fillId="0" borderId="3">
      <alignment horizontal="left" vertical="center"/>
      <protection locked="0"/>
    </xf>
    <xf numFmtId="49" fontId="4" fillId="0" borderId="3">
      <alignment horizontal="left" vertical="center"/>
      <protection locked="0"/>
    </xf>
    <xf numFmtId="0" fontId="18" fillId="0" borderId="0" applyNumberFormat="0" applyFill="0" applyBorder="0" applyAlignment="0" applyProtection="0"/>
    <xf numFmtId="170" fontId="26" fillId="0" borderId="0" applyAlignment="0">
      <alignment wrapText="1"/>
    </xf>
    <xf numFmtId="0" fontId="21" fillId="4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7" fillId="7" borderId="1" applyNumberFormat="0" applyAlignment="0" applyProtection="0"/>
    <xf numFmtId="49" fontId="4" fillId="0" borderId="0" applyNumberFormat="0" applyFont="0" applyAlignment="0">
      <alignment vertical="top" wrapText="1"/>
      <protection locked="0"/>
    </xf>
    <xf numFmtId="49" fontId="4" fillId="0" borderId="0" applyNumberFormat="0" applyFont="0" applyAlignment="0">
      <alignment vertical="top" wrapText="1"/>
    </xf>
    <xf numFmtId="49" fontId="4" fillId="0" borderId="0" applyNumberFormat="0" applyFont="0" applyAlignment="0">
      <alignment vertical="top" wrapText="1"/>
    </xf>
    <xf numFmtId="49" fontId="4" fillId="0" borderId="0" applyNumberFormat="0" applyFont="0" applyAlignment="0">
      <alignment vertical="top" wrapText="1"/>
      <protection locked="0"/>
    </xf>
    <xf numFmtId="49" fontId="4" fillId="0" borderId="0" applyNumberFormat="0" applyFont="0" applyAlignment="0">
      <alignment vertical="top" wrapText="1"/>
    </xf>
    <xf numFmtId="49" fontId="4" fillId="0" borderId="0" applyNumberFormat="0" applyFont="0" applyAlignment="0">
      <alignment vertical="top" wrapText="1"/>
      <protection locked="0"/>
    </xf>
    <xf numFmtId="49" fontId="4" fillId="0" borderId="0" applyNumberFormat="0" applyFont="0" applyAlignment="0">
      <alignment vertical="top" wrapText="1"/>
    </xf>
    <xf numFmtId="49" fontId="4" fillId="0" borderId="0" applyNumberFormat="0" applyFont="0" applyAlignment="0">
      <alignment vertical="top" wrapText="1"/>
      <protection locked="0"/>
    </xf>
    <xf numFmtId="49" fontId="4" fillId="0" borderId="0" applyNumberFormat="0" applyFont="0" applyAlignment="0">
      <alignment vertical="top" wrapText="1"/>
      <protection locked="0"/>
    </xf>
    <xf numFmtId="49" fontId="4" fillId="0" borderId="0" applyNumberFormat="0" applyFont="0" applyAlignment="0">
      <alignment vertical="top" wrapText="1"/>
      <protection locked="0"/>
    </xf>
    <xf numFmtId="49" fontId="4" fillId="0" borderId="0" applyNumberFormat="0" applyFont="0" applyAlignment="0">
      <alignment vertical="top" wrapText="1"/>
      <protection locked="0"/>
    </xf>
    <xf numFmtId="49" fontId="4" fillId="0" borderId="0" applyNumberFormat="0" applyFont="0" applyAlignment="0">
      <alignment vertical="top" wrapText="1"/>
      <protection locked="0"/>
    </xf>
    <xf numFmtId="49" fontId="4" fillId="0" borderId="0" applyNumberFormat="0" applyFont="0" applyAlignment="0">
      <alignment vertical="top" wrapText="1"/>
      <protection locked="0"/>
    </xf>
    <xf numFmtId="49" fontId="4" fillId="0" borderId="0" applyNumberFormat="0" applyFont="0" applyAlignment="0">
      <alignment vertical="top" wrapText="1"/>
      <protection locked="0"/>
    </xf>
    <xf numFmtId="49" fontId="4" fillId="0" borderId="0" applyNumberFormat="0" applyFont="0" applyAlignment="0">
      <alignment vertical="top" wrapText="1"/>
      <protection locked="0"/>
    </xf>
    <xf numFmtId="49" fontId="4" fillId="0" borderId="0" applyNumberFormat="0" applyFont="0" applyAlignment="0">
      <alignment vertical="top" wrapText="1"/>
      <protection locked="0"/>
    </xf>
    <xf numFmtId="49" fontId="4" fillId="0" borderId="0" applyNumberFormat="0" applyFont="0" applyAlignment="0">
      <alignment vertical="top" wrapText="1"/>
      <protection locked="0"/>
    </xf>
    <xf numFmtId="49" fontId="4" fillId="0" borderId="0" applyNumberFormat="0" applyFont="0" applyAlignment="0">
      <alignment vertical="top" wrapText="1"/>
      <protection locked="0"/>
    </xf>
    <xf numFmtId="49" fontId="4" fillId="0" borderId="0" applyNumberFormat="0" applyFont="0" applyAlignment="0">
      <alignment vertical="top" wrapText="1"/>
      <protection locked="0"/>
    </xf>
    <xf numFmtId="49" fontId="4" fillId="0" borderId="0" applyNumberFormat="0" applyFont="0" applyAlignment="0">
      <alignment vertical="top" wrapText="1"/>
      <protection locked="0"/>
    </xf>
    <xf numFmtId="49" fontId="28" fillId="22" borderId="7">
      <alignment horizontal="left" vertical="center"/>
      <protection locked="0"/>
    </xf>
    <xf numFmtId="49" fontId="28" fillId="22" borderId="7">
      <alignment horizontal="left" vertical="center"/>
    </xf>
    <xf numFmtId="4" fontId="28" fillId="22" borderId="7">
      <alignment horizontal="right" vertical="center"/>
      <protection locked="0"/>
    </xf>
    <xf numFmtId="4" fontId="28" fillId="22" borderId="7">
      <alignment horizontal="right" vertical="center"/>
    </xf>
    <xf numFmtId="4" fontId="29" fillId="22" borderId="7">
      <alignment horizontal="right" vertical="center"/>
      <protection locked="0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" fontId="30" fillId="22" borderId="3">
      <alignment horizontal="right" vertical="center"/>
      <protection locked="0"/>
    </xf>
    <xf numFmtId="4" fontId="30" fillId="22" borderId="3">
      <alignment horizontal="right" vertical="center"/>
    </xf>
    <xf numFmtId="4" fontId="32" fillId="22" borderId="3">
      <alignment horizontal="right" vertical="center"/>
      <protection locked="0"/>
    </xf>
    <xf numFmtId="49" fontId="25" fillId="22" borderId="3">
      <alignment horizontal="left" vertical="center"/>
      <protection locked="0"/>
    </xf>
    <xf numFmtId="49" fontId="25" fillId="22" borderId="3">
      <alignment horizontal="left" vertical="center"/>
      <protection locked="0"/>
    </xf>
    <xf numFmtId="49" fontId="25" fillId="22" borderId="3">
      <alignment horizontal="left" vertical="center"/>
    </xf>
    <xf numFmtId="49" fontId="25" fillId="22" borderId="3">
      <alignment horizontal="left" vertical="center"/>
    </xf>
    <xf numFmtId="49" fontId="29" fillId="22" borderId="3">
      <alignment horizontal="left" vertical="center"/>
      <protection locked="0"/>
    </xf>
    <xf numFmtId="49" fontId="29" fillId="22" borderId="3">
      <alignment horizontal="left" vertical="center"/>
    </xf>
    <xf numFmtId="4" fontId="25" fillId="22" borderId="3">
      <alignment horizontal="right" vertical="center"/>
      <protection locked="0"/>
    </xf>
    <xf numFmtId="4" fontId="25" fillId="22" borderId="3">
      <alignment horizontal="right" vertical="center"/>
      <protection locked="0"/>
    </xf>
    <xf numFmtId="4" fontId="25" fillId="22" borderId="3">
      <alignment horizontal="right" vertical="center"/>
    </xf>
    <xf numFmtId="4" fontId="25" fillId="22" borderId="3">
      <alignment horizontal="right" vertical="center"/>
    </xf>
    <xf numFmtId="4" fontId="29" fillId="22" borderId="3">
      <alignment horizontal="righ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</xf>
    <xf numFmtId="4" fontId="35" fillId="22" borderId="3">
      <alignment horizontal="right" vertical="center"/>
      <protection locked="0"/>
    </xf>
    <xf numFmtId="49" fontId="36" fillId="0" borderId="3">
      <alignment horizontal="left" vertical="center"/>
      <protection locked="0"/>
    </xf>
    <xf numFmtId="49" fontId="36" fillId="0" borderId="3">
      <alignment horizontal="left" vertical="center"/>
    </xf>
    <xf numFmtId="49" fontId="37" fillId="0" borderId="3">
      <alignment horizontal="left" vertical="center"/>
      <protection locked="0"/>
    </xf>
    <xf numFmtId="49" fontId="37" fillId="0" borderId="3">
      <alignment horizontal="left" vertical="center"/>
    </xf>
    <xf numFmtId="4" fontId="36" fillId="0" borderId="3">
      <alignment horizontal="right" vertical="center"/>
      <protection locked="0"/>
    </xf>
    <xf numFmtId="4" fontId="36" fillId="0" borderId="3">
      <alignment horizontal="right" vertical="center"/>
    </xf>
    <xf numFmtId="4" fontId="37" fillId="0" borderId="3">
      <alignment horizontal="right" vertical="center"/>
      <protection locked="0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" fontId="38" fillId="0" borderId="3">
      <alignment horizontal="right" vertical="center"/>
      <protection locked="0"/>
    </xf>
    <xf numFmtId="4" fontId="38" fillId="0" borderId="3">
      <alignment horizontal="right" vertical="center"/>
    </xf>
    <xf numFmtId="49" fontId="36" fillId="0" borderId="3">
      <alignment horizontal="left" vertical="center"/>
      <protection locked="0"/>
    </xf>
    <xf numFmtId="49" fontId="37" fillId="0" borderId="3">
      <alignment horizontal="left" vertical="center"/>
      <protection locked="0"/>
    </xf>
    <xf numFmtId="4" fontId="36" fillId="0" borderId="3">
      <alignment horizontal="right" vertical="center"/>
      <protection locked="0"/>
    </xf>
    <xf numFmtId="0" fontId="19" fillId="0" borderId="8" applyNumberFormat="0" applyFill="0" applyAlignment="0" applyProtection="0"/>
    <xf numFmtId="0" fontId="16" fillId="23" borderId="0" applyNumberFormat="0" applyBorder="0" applyAlignment="0" applyProtection="0"/>
    <xf numFmtId="0" fontId="4" fillId="0" borderId="0"/>
    <xf numFmtId="0" fontId="4" fillId="0" borderId="0"/>
    <xf numFmtId="0" fontId="2" fillId="24" borderId="9" applyNumberFormat="0" applyFont="0" applyAlignment="0" applyProtection="0"/>
    <xf numFmtId="4" fontId="40" fillId="25" borderId="3">
      <alignment horizontal="right" vertical="center"/>
      <protection locked="0"/>
    </xf>
    <xf numFmtId="4" fontId="40" fillId="26" borderId="3">
      <alignment horizontal="right" vertical="center"/>
      <protection locked="0"/>
    </xf>
    <xf numFmtId="4" fontId="40" fillId="27" borderId="3">
      <alignment horizontal="right" vertical="center"/>
      <protection locked="0"/>
    </xf>
    <xf numFmtId="0" fontId="8" fillId="20" borderId="10" applyNumberFormat="0" applyAlignment="0" applyProtection="0"/>
    <xf numFmtId="49" fontId="25" fillId="0" borderId="3">
      <alignment horizontal="left" vertical="center" wrapText="1"/>
      <protection locked="0"/>
    </xf>
    <xf numFmtId="49" fontId="25" fillId="0" borderId="3">
      <alignment horizontal="left" vertical="center" wrapText="1"/>
      <protection locked="0"/>
    </xf>
    <xf numFmtId="0" fontId="15" fillId="0" borderId="0" applyNumberFormat="0" applyFill="0" applyBorder="0" applyAlignment="0" applyProtection="0"/>
    <xf numFmtId="0" fontId="13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24" fillId="16" borderId="0" applyNumberFormat="0" applyBorder="0" applyAlignment="0" applyProtection="0"/>
    <xf numFmtId="0" fontId="6" fillId="16" borderId="0" applyNumberFormat="0" applyBorder="0" applyAlignment="0" applyProtection="0"/>
    <xf numFmtId="0" fontId="24" fillId="17" borderId="0" applyNumberFormat="0" applyBorder="0" applyAlignment="0" applyProtection="0"/>
    <xf numFmtId="0" fontId="6" fillId="17" borderId="0" applyNumberFormat="0" applyBorder="0" applyAlignment="0" applyProtection="0"/>
    <xf numFmtId="0" fontId="24" fillId="18" borderId="0" applyNumberFormat="0" applyBorder="0" applyAlignment="0" applyProtection="0"/>
    <xf numFmtId="0" fontId="6" fillId="18" borderId="0" applyNumberFormat="0" applyBorder="0" applyAlignment="0" applyProtection="0"/>
    <xf numFmtId="0" fontId="24" fillId="13" borderId="0" applyNumberFormat="0" applyBorder="0" applyAlignment="0" applyProtection="0"/>
    <xf numFmtId="0" fontId="6" fillId="13" borderId="0" applyNumberFormat="0" applyBorder="0" applyAlignment="0" applyProtection="0"/>
    <xf numFmtId="0" fontId="24" fillId="14" borderId="0" applyNumberFormat="0" applyBorder="0" applyAlignment="0" applyProtection="0"/>
    <xf numFmtId="0" fontId="6" fillId="14" borderId="0" applyNumberFormat="0" applyBorder="0" applyAlignment="0" applyProtection="0"/>
    <xf numFmtId="0" fontId="24" fillId="19" borderId="0" applyNumberFormat="0" applyBorder="0" applyAlignment="0" applyProtection="0"/>
    <xf numFmtId="0" fontId="6" fillId="19" borderId="0" applyNumberFormat="0" applyBorder="0" applyAlignment="0" applyProtection="0"/>
    <xf numFmtId="0" fontId="41" fillId="7" borderId="1" applyNumberFormat="0" applyAlignment="0" applyProtection="0"/>
    <xf numFmtId="0" fontId="7" fillId="7" borderId="1" applyNumberFormat="0" applyAlignment="0" applyProtection="0"/>
    <xf numFmtId="0" fontId="42" fillId="20" borderId="10" applyNumberFormat="0" applyAlignment="0" applyProtection="0"/>
    <xf numFmtId="0" fontId="8" fillId="20" borderId="10" applyNumberFormat="0" applyAlignment="0" applyProtection="0"/>
    <xf numFmtId="0" fontId="43" fillId="20" borderId="1" applyNumberFormat="0" applyAlignment="0" applyProtection="0"/>
    <xf numFmtId="0" fontId="9" fillId="20" borderId="1" applyNumberFormat="0" applyAlignment="0" applyProtection="0"/>
    <xf numFmtId="171" fontId="4" fillId="0" borderId="0" applyFont="0" applyFill="0" applyBorder="0" applyAlignment="0" applyProtection="0"/>
    <xf numFmtId="0" fontId="44" fillId="0" borderId="4" applyNumberFormat="0" applyFill="0" applyAlignment="0" applyProtection="0"/>
    <xf numFmtId="0" fontId="10" fillId="0" borderId="4" applyNumberFormat="0" applyFill="0" applyAlignment="0" applyProtection="0"/>
    <xf numFmtId="0" fontId="45" fillId="0" borderId="5" applyNumberFormat="0" applyFill="0" applyAlignment="0" applyProtection="0"/>
    <xf numFmtId="0" fontId="11" fillId="0" borderId="5" applyNumberFormat="0" applyFill="0" applyAlignment="0" applyProtection="0"/>
    <xf numFmtId="0" fontId="46" fillId="0" borderId="6" applyNumberFormat="0" applyFill="0" applyAlignment="0" applyProtection="0"/>
    <xf numFmtId="0" fontId="12" fillId="0" borderId="6" applyNumberFormat="0" applyFill="0" applyAlignment="0" applyProtection="0"/>
    <xf numFmtId="0" fontId="46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7" fillId="0" borderId="11" applyNumberFormat="0" applyFill="0" applyAlignment="0" applyProtection="0"/>
    <xf numFmtId="0" fontId="13" fillId="0" borderId="11" applyNumberFormat="0" applyFill="0" applyAlignment="0" applyProtection="0"/>
    <xf numFmtId="0" fontId="48" fillId="21" borderId="2" applyNumberFormat="0" applyAlignment="0" applyProtection="0"/>
    <xf numFmtId="0" fontId="14" fillId="21" borderId="2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9" fillId="23" borderId="0" applyNumberFormat="0" applyBorder="0" applyAlignment="0" applyProtection="0"/>
    <xf numFmtId="0" fontId="16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1" fillId="0" borderId="0"/>
    <xf numFmtId="0" fontId="63" fillId="0" borderId="0"/>
    <xf numFmtId="0" fontId="4" fillId="0" borderId="0"/>
    <xf numFmtId="0" fontId="2" fillId="0" borderId="0"/>
    <xf numFmtId="0" fontId="4" fillId="0" borderId="0"/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50" fillId="3" borderId="0" applyNumberFormat="0" applyBorder="0" applyAlignment="0" applyProtection="0"/>
    <xf numFmtId="0" fontId="17" fillId="3" borderId="0" applyNumberFormat="0" applyBorder="0" applyAlignment="0" applyProtection="0"/>
    <xf numFmtId="0" fontId="51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24" borderId="9" applyNumberFormat="0" applyFont="0" applyAlignment="0" applyProtection="0"/>
    <xf numFmtId="0" fontId="4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3" fillId="0" borderId="8" applyNumberFormat="0" applyFill="0" applyAlignment="0" applyProtection="0"/>
    <xf numFmtId="0" fontId="19" fillId="0" borderId="8" applyNumberFormat="0" applyFill="0" applyAlignment="0" applyProtection="0"/>
    <xf numFmtId="0" fontId="2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5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72" fontId="56" fillId="0" borderId="0" applyFont="0" applyFill="0" applyBorder="0" applyAlignment="0" applyProtection="0"/>
    <xf numFmtId="173" fontId="56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57" fillId="4" borderId="0" applyNumberFormat="0" applyBorder="0" applyAlignment="0" applyProtection="0"/>
    <xf numFmtId="0" fontId="21" fillId="4" borderId="0" applyNumberFormat="0" applyBorder="0" applyAlignment="0" applyProtection="0"/>
    <xf numFmtId="175" fontId="58" fillId="22" borderId="12" applyFill="0" applyBorder="0">
      <alignment horizontal="center" vertical="center" wrapText="1"/>
      <protection locked="0"/>
    </xf>
    <xf numFmtId="170" fontId="59" fillId="0" borderId="0">
      <alignment wrapText="1"/>
    </xf>
    <xf numFmtId="170" fontId="26" fillId="0" borderId="0">
      <alignment wrapText="1"/>
    </xf>
  </cellStyleXfs>
  <cellXfs count="231">
    <xf numFmtId="0" fontId="0" fillId="0" borderId="0" xfId="0"/>
    <xf numFmtId="0" fontId="60" fillId="0" borderId="0" xfId="0" applyFont="1" applyFill="1" applyAlignment="1">
      <alignment vertical="center"/>
    </xf>
    <xf numFmtId="0" fontId="60" fillId="0" borderId="0" xfId="0" applyFont="1" applyFill="1" applyBorder="1" applyAlignment="1">
      <alignment vertical="center"/>
    </xf>
    <xf numFmtId="0" fontId="61" fillId="0" borderId="0" xfId="0" applyFont="1" applyFill="1" applyBorder="1" applyAlignment="1">
      <alignment horizontal="center" vertical="center" wrapText="1"/>
    </xf>
    <xf numFmtId="0" fontId="61" fillId="0" borderId="0" xfId="0" applyFont="1" applyFill="1" applyBorder="1" applyAlignment="1">
      <alignment vertical="center"/>
    </xf>
    <xf numFmtId="0" fontId="60" fillId="28" borderId="0" xfId="0" applyFont="1" applyFill="1" applyBorder="1" applyAlignment="1">
      <alignment vertical="center"/>
    </xf>
    <xf numFmtId="49" fontId="61" fillId="0" borderId="0" xfId="0" applyNumberFormat="1" applyFont="1" applyFill="1" applyAlignment="1">
      <alignment vertical="center"/>
    </xf>
    <xf numFmtId="0" fontId="61" fillId="0" borderId="0" xfId="0" applyFont="1" applyFill="1" applyAlignment="1">
      <alignment vertical="center"/>
    </xf>
    <xf numFmtId="172" fontId="60" fillId="0" borderId="0" xfId="0" applyNumberFormat="1" applyFont="1" applyFill="1" applyAlignment="1">
      <alignment vertical="center"/>
    </xf>
    <xf numFmtId="49" fontId="60" fillId="0" borderId="0" xfId="0" applyNumberFormat="1" applyFont="1" applyFill="1" applyBorder="1" applyAlignment="1">
      <alignment vertical="center"/>
    </xf>
    <xf numFmtId="169" fontId="60" fillId="0" borderId="0" xfId="0" applyNumberFormat="1" applyFont="1" applyFill="1" applyBorder="1" applyAlignment="1">
      <alignment horizontal="center" vertical="center" wrapText="1"/>
    </xf>
    <xf numFmtId="169" fontId="60" fillId="0" borderId="0" xfId="0" applyNumberFormat="1" applyFont="1" applyFill="1" applyBorder="1" applyAlignment="1">
      <alignment horizontal="right" vertical="center" wrapText="1"/>
    </xf>
    <xf numFmtId="0" fontId="61" fillId="0" borderId="0" xfId="0" applyFont="1" applyFill="1" applyBorder="1" applyAlignment="1">
      <alignment horizontal="left" vertical="center" wrapText="1"/>
    </xf>
    <xf numFmtId="0" fontId="60" fillId="0" borderId="0" xfId="0" quotePrefix="1" applyFont="1" applyFill="1" applyBorder="1" applyAlignment="1">
      <alignment horizontal="center" vertical="center"/>
    </xf>
    <xf numFmtId="169" fontId="65" fillId="0" borderId="0" xfId="0" applyNumberFormat="1" applyFont="1" applyFill="1" applyBorder="1" applyAlignment="1">
      <alignment vertical="center"/>
    </xf>
    <xf numFmtId="0" fontId="60" fillId="0" borderId="0" xfId="0" applyFont="1" applyFill="1" applyAlignment="1">
      <alignment horizontal="left" vertical="center"/>
    </xf>
    <xf numFmtId="0" fontId="60" fillId="0" borderId="0" xfId="0" applyFont="1" applyFill="1" applyBorder="1" applyAlignment="1">
      <alignment vertical="center" wrapText="1"/>
    </xf>
    <xf numFmtId="0" fontId="60" fillId="0" borderId="0" xfId="0" applyFont="1" applyFill="1" applyBorder="1" applyAlignment="1">
      <alignment horizontal="left" vertical="center" wrapText="1"/>
    </xf>
    <xf numFmtId="0" fontId="60" fillId="0" borderId="0" xfId="0" applyFont="1" applyFill="1" applyBorder="1" applyAlignment="1">
      <alignment horizontal="center" vertical="center"/>
    </xf>
    <xf numFmtId="0" fontId="60" fillId="0" borderId="0" xfId="0" applyFont="1" applyFill="1" applyBorder="1" applyAlignment="1">
      <alignment horizontal="center" vertical="center" wrapText="1"/>
    </xf>
    <xf numFmtId="0" fontId="62" fillId="0" borderId="3" xfId="0" applyFont="1" applyFill="1" applyBorder="1" applyAlignment="1">
      <alignment horizontal="center" vertical="center"/>
    </xf>
    <xf numFmtId="0" fontId="62" fillId="22" borderId="3" xfId="0" applyFont="1" applyFill="1" applyBorder="1" applyAlignment="1">
      <alignment horizontal="center" vertical="center"/>
    </xf>
    <xf numFmtId="0" fontId="66" fillId="0" borderId="3" xfId="0" applyFont="1" applyFill="1" applyBorder="1" applyAlignment="1">
      <alignment horizontal="left" vertical="center" wrapText="1"/>
    </xf>
    <xf numFmtId="0" fontId="67" fillId="0" borderId="3" xfId="0" applyFont="1" applyFill="1" applyBorder="1" applyAlignment="1">
      <alignment horizontal="left" vertical="center" wrapText="1"/>
    </xf>
    <xf numFmtId="0" fontId="68" fillId="0" borderId="3" xfId="0" applyFont="1" applyFill="1" applyBorder="1" applyAlignment="1">
      <alignment horizontal="left" vertical="center" wrapText="1"/>
    </xf>
    <xf numFmtId="0" fontId="69" fillId="0" borderId="3" xfId="0" applyFont="1" applyFill="1" applyBorder="1" applyAlignment="1">
      <alignment horizontal="left" vertical="center" wrapText="1"/>
    </xf>
    <xf numFmtId="0" fontId="69" fillId="0" borderId="3" xfId="0" quotePrefix="1" applyFont="1" applyFill="1" applyBorder="1" applyAlignment="1">
      <alignment horizontal="center" vertical="center"/>
    </xf>
    <xf numFmtId="0" fontId="66" fillId="0" borderId="3" xfId="0" applyFont="1" applyFill="1" applyBorder="1" applyAlignment="1">
      <alignment horizontal="center" vertical="center"/>
    </xf>
    <xf numFmtId="0" fontId="66" fillId="0" borderId="3" xfId="0" applyFont="1" applyFill="1" applyBorder="1" applyAlignment="1">
      <alignment horizontal="center" vertical="center" wrapText="1"/>
    </xf>
    <xf numFmtId="172" fontId="66" fillId="0" borderId="3" xfId="0" applyNumberFormat="1" applyFont="1" applyFill="1" applyBorder="1" applyAlignment="1">
      <alignment horizontal="center" vertical="center" wrapText="1"/>
    </xf>
    <xf numFmtId="169" fontId="69" fillId="0" borderId="3" xfId="0" applyNumberFormat="1" applyFont="1" applyFill="1" applyBorder="1" applyAlignment="1">
      <alignment horizontal="center" vertical="center" wrapText="1"/>
    </xf>
    <xf numFmtId="176" fontId="69" fillId="22" borderId="3" xfId="0" applyNumberFormat="1" applyFont="1" applyFill="1" applyBorder="1" applyAlignment="1">
      <alignment horizontal="center" vertical="center" wrapText="1"/>
    </xf>
    <xf numFmtId="176" fontId="66" fillId="22" borderId="3" xfId="0" applyNumberFormat="1" applyFont="1" applyFill="1" applyBorder="1" applyAlignment="1">
      <alignment horizontal="center" vertical="center" wrapText="1"/>
    </xf>
    <xf numFmtId="49" fontId="66" fillId="0" borderId="3" xfId="0" applyNumberFormat="1" applyFont="1" applyFill="1" applyBorder="1" applyAlignment="1">
      <alignment horizontal="left" vertical="center" wrapText="1"/>
    </xf>
    <xf numFmtId="172" fontId="69" fillId="0" borderId="3" xfId="0" applyNumberFormat="1" applyFont="1" applyFill="1" applyBorder="1" applyAlignment="1">
      <alignment horizontal="center" vertical="center" wrapText="1"/>
    </xf>
    <xf numFmtId="0" fontId="68" fillId="0" borderId="3" xfId="0" quotePrefix="1" applyFont="1" applyFill="1" applyBorder="1" applyAlignment="1">
      <alignment horizontal="center" vertical="center"/>
    </xf>
    <xf numFmtId="172" fontId="68" fillId="0" borderId="3" xfId="0" applyNumberFormat="1" applyFont="1" applyFill="1" applyBorder="1" applyAlignment="1">
      <alignment horizontal="center" vertical="center" wrapText="1"/>
    </xf>
    <xf numFmtId="169" fontId="68" fillId="0" borderId="3" xfId="0" applyNumberFormat="1" applyFont="1" applyFill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left" vertical="center" wrapText="1"/>
    </xf>
    <xf numFmtId="169" fontId="66" fillId="0" borderId="3" xfId="0" applyNumberFormat="1" applyFont="1" applyFill="1" applyBorder="1" applyAlignment="1">
      <alignment horizontal="center" vertical="center" wrapText="1"/>
    </xf>
    <xf numFmtId="176" fontId="66" fillId="0" borderId="3" xfId="0" applyNumberFormat="1" applyFont="1" applyFill="1" applyBorder="1" applyAlignment="1">
      <alignment horizontal="center" vertical="center" wrapText="1"/>
    </xf>
    <xf numFmtId="0" fontId="66" fillId="28" borderId="3" xfId="0" applyFont="1" applyFill="1" applyBorder="1" applyAlignment="1">
      <alignment horizontal="left" vertical="center" wrapText="1"/>
    </xf>
    <xf numFmtId="0" fontId="69" fillId="28" borderId="3" xfId="0" quotePrefix="1" applyFont="1" applyFill="1" applyBorder="1" applyAlignment="1">
      <alignment horizontal="center" vertical="center"/>
    </xf>
    <xf numFmtId="172" fontId="66" fillId="28" borderId="3" xfId="0" applyNumberFormat="1" applyFont="1" applyFill="1" applyBorder="1" applyAlignment="1">
      <alignment horizontal="center" vertical="center" wrapText="1"/>
    </xf>
    <xf numFmtId="176" fontId="69" fillId="28" borderId="3" xfId="0" applyNumberFormat="1" applyFont="1" applyFill="1" applyBorder="1" applyAlignment="1">
      <alignment horizontal="center" vertical="center" wrapText="1"/>
    </xf>
    <xf numFmtId="49" fontId="66" fillId="28" borderId="3" xfId="0" applyNumberFormat="1" applyFont="1" applyFill="1" applyBorder="1" applyAlignment="1">
      <alignment horizontal="left" vertical="center" wrapText="1"/>
    </xf>
    <xf numFmtId="176" fontId="69" fillId="0" borderId="3" xfId="0" applyNumberFormat="1" applyFont="1" applyFill="1" applyBorder="1" applyAlignment="1">
      <alignment horizontal="center" vertical="center" wrapText="1"/>
    </xf>
    <xf numFmtId="0" fontId="68" fillId="0" borderId="3" xfId="0" applyFont="1" applyFill="1" applyBorder="1" applyAlignment="1">
      <alignment horizontal="center" vertical="center" wrapText="1"/>
    </xf>
    <xf numFmtId="0" fontId="69" fillId="0" borderId="3" xfId="0" applyFont="1" applyFill="1" applyBorder="1" applyAlignment="1">
      <alignment horizontal="center" vertical="center" wrapText="1"/>
    </xf>
    <xf numFmtId="49" fontId="69" fillId="0" borderId="3" xfId="0" applyNumberFormat="1" applyFont="1" applyFill="1" applyBorder="1" applyAlignment="1">
      <alignment horizontal="left" vertical="center" wrapText="1"/>
    </xf>
    <xf numFmtId="2" fontId="66" fillId="0" borderId="0" xfId="0" applyNumberFormat="1" applyFont="1" applyFill="1" applyBorder="1" applyAlignment="1">
      <alignment horizontal="left" vertical="center" wrapText="1"/>
    </xf>
    <xf numFmtId="49" fontId="66" fillId="0" borderId="0" xfId="0" applyNumberFormat="1" applyFont="1" applyFill="1" applyBorder="1" applyAlignment="1">
      <alignment horizontal="left" vertical="center" wrapText="1"/>
    </xf>
    <xf numFmtId="0" fontId="66" fillId="0" borderId="0" xfId="0" applyFont="1" applyFill="1" applyBorder="1" applyAlignment="1">
      <alignment vertical="center"/>
    </xf>
    <xf numFmtId="0" fontId="66" fillId="0" borderId="0" xfId="0" applyFont="1" applyFill="1" applyAlignment="1">
      <alignment horizontal="left" vertical="center"/>
    </xf>
    <xf numFmtId="0" fontId="66" fillId="0" borderId="0" xfId="0" applyFont="1" applyFill="1" applyBorder="1" applyAlignment="1">
      <alignment horizontal="left" vertical="center" wrapText="1"/>
    </xf>
    <xf numFmtId="0" fontId="66" fillId="0" borderId="0" xfId="0" applyFont="1" applyFill="1" applyBorder="1" applyAlignment="1">
      <alignment horizontal="center" vertical="center"/>
    </xf>
    <xf numFmtId="169" fontId="66" fillId="0" borderId="0" xfId="0" applyNumberFormat="1" applyFont="1" applyFill="1" applyBorder="1" applyAlignment="1">
      <alignment horizontal="center" vertical="center" wrapText="1"/>
    </xf>
    <xf numFmtId="169" fontId="66" fillId="0" borderId="0" xfId="0" applyNumberFormat="1" applyFont="1" applyFill="1" applyBorder="1" applyAlignment="1">
      <alignment horizontal="right" vertical="center" wrapText="1"/>
    </xf>
    <xf numFmtId="0" fontId="62" fillId="0" borderId="3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vertical="center"/>
    </xf>
    <xf numFmtId="0" fontId="62" fillId="0" borderId="14" xfId="0" applyFont="1" applyFill="1" applyBorder="1" applyAlignment="1">
      <alignment vertical="center"/>
    </xf>
    <xf numFmtId="0" fontId="62" fillId="0" borderId="3" xfId="0" applyFont="1" applyFill="1" applyBorder="1" applyAlignment="1">
      <alignment vertical="center"/>
    </xf>
    <xf numFmtId="0" fontId="62" fillId="0" borderId="18" xfId="0" applyFont="1" applyFill="1" applyBorder="1" applyAlignment="1">
      <alignment horizontal="left" vertical="center" wrapText="1"/>
    </xf>
    <xf numFmtId="0" fontId="62" fillId="0" borderId="15" xfId="0" applyFont="1" applyFill="1" applyBorder="1" applyAlignment="1">
      <alignment vertical="center" wrapText="1"/>
    </xf>
    <xf numFmtId="0" fontId="62" fillId="0" borderId="15" xfId="0" applyFont="1" applyFill="1" applyBorder="1" applyAlignment="1">
      <alignment vertical="center"/>
    </xf>
    <xf numFmtId="0" fontId="62" fillId="0" borderId="14" xfId="0" applyFont="1" applyFill="1" applyBorder="1" applyAlignment="1">
      <alignment vertical="center" wrapText="1"/>
    </xf>
    <xf numFmtId="0" fontId="62" fillId="0" borderId="16" xfId="0" applyFont="1" applyFill="1" applyBorder="1" applyAlignment="1">
      <alignment vertical="center" wrapText="1"/>
    </xf>
    <xf numFmtId="0" fontId="62" fillId="0" borderId="17" xfId="0" applyFont="1" applyFill="1" applyBorder="1" applyAlignment="1">
      <alignment vertical="center"/>
    </xf>
    <xf numFmtId="0" fontId="62" fillId="0" borderId="3" xfId="0" applyFont="1" applyFill="1" applyBorder="1" applyAlignment="1">
      <alignment horizontal="center" vertical="center" wrapText="1"/>
    </xf>
    <xf numFmtId="0" fontId="62" fillId="0" borderId="3" xfId="0" applyFont="1" applyFill="1" applyBorder="1" applyAlignment="1">
      <alignment vertical="center" wrapText="1"/>
    </xf>
    <xf numFmtId="0" fontId="62" fillId="0" borderId="3" xfId="0" applyFont="1" applyFill="1" applyBorder="1" applyAlignment="1">
      <alignment horizontal="center" vertical="center" wrapText="1" shrinkToFit="1"/>
    </xf>
    <xf numFmtId="172" fontId="62" fillId="0" borderId="3" xfId="0" applyNumberFormat="1" applyFont="1" applyFill="1" applyBorder="1" applyAlignment="1">
      <alignment horizontal="center" vertical="center" wrapText="1"/>
    </xf>
    <xf numFmtId="169" fontId="62" fillId="0" borderId="3" xfId="0" applyNumberFormat="1" applyFont="1" applyFill="1" applyBorder="1" applyAlignment="1">
      <alignment horizontal="center" vertical="center" wrapText="1"/>
    </xf>
    <xf numFmtId="176" fontId="72" fillId="22" borderId="3" xfId="0" applyNumberFormat="1" applyFont="1" applyFill="1" applyBorder="1" applyAlignment="1">
      <alignment horizontal="center" vertical="center" wrapText="1"/>
    </xf>
    <xf numFmtId="176" fontId="62" fillId="22" borderId="3" xfId="0" applyNumberFormat="1" applyFont="1" applyFill="1" applyBorder="1" applyAlignment="1">
      <alignment horizontal="center" vertical="center" wrapText="1"/>
    </xf>
    <xf numFmtId="176" fontId="67" fillId="22" borderId="3" xfId="0" applyNumberFormat="1" applyFont="1" applyFill="1" applyBorder="1" applyAlignment="1">
      <alignment horizontal="center" vertical="center" wrapText="1"/>
    </xf>
    <xf numFmtId="0" fontId="72" fillId="0" borderId="3" xfId="0" quotePrefix="1" applyFont="1" applyFill="1" applyBorder="1" applyAlignment="1">
      <alignment horizontal="center" vertical="center"/>
    </xf>
    <xf numFmtId="172" fontId="72" fillId="0" borderId="3" xfId="0" applyNumberFormat="1" applyFont="1" applyFill="1" applyBorder="1" applyAlignment="1">
      <alignment horizontal="center" vertical="center" wrapText="1"/>
    </xf>
    <xf numFmtId="169" fontId="72" fillId="0" borderId="3" xfId="0" applyNumberFormat="1" applyFont="1" applyFill="1" applyBorder="1" applyAlignment="1">
      <alignment horizontal="center" vertical="center" wrapText="1"/>
    </xf>
    <xf numFmtId="176" fontId="72" fillId="0" borderId="3" xfId="0" applyNumberFormat="1" applyFont="1" applyFill="1" applyBorder="1" applyAlignment="1">
      <alignment horizontal="center" vertical="center" wrapText="1"/>
    </xf>
    <xf numFmtId="176" fontId="62" fillId="0" borderId="3" xfId="0" applyNumberFormat="1" applyFont="1" applyFill="1" applyBorder="1" applyAlignment="1">
      <alignment horizontal="center" vertical="center" wrapText="1"/>
    </xf>
    <xf numFmtId="0" fontId="67" fillId="0" borderId="3" xfId="0" applyFont="1" applyFill="1" applyBorder="1" applyAlignment="1">
      <alignment horizontal="center" vertical="center" wrapText="1"/>
    </xf>
    <xf numFmtId="176" fontId="67" fillId="0" borderId="3" xfId="0" applyNumberFormat="1" applyFont="1" applyFill="1" applyBorder="1" applyAlignment="1">
      <alignment horizontal="center" vertical="center" wrapText="1"/>
    </xf>
    <xf numFmtId="172" fontId="67" fillId="0" borderId="3" xfId="0" applyNumberFormat="1" applyFont="1" applyFill="1" applyBorder="1" applyAlignment="1">
      <alignment horizontal="center" vertical="center" wrapText="1"/>
    </xf>
    <xf numFmtId="169" fontId="67" fillId="0" borderId="3" xfId="0" applyNumberFormat="1" applyFont="1" applyFill="1" applyBorder="1" applyAlignment="1">
      <alignment horizontal="center" vertical="center" wrapText="1"/>
    </xf>
    <xf numFmtId="0" fontId="62" fillId="28" borderId="3" xfId="0" applyFont="1" applyFill="1" applyBorder="1" applyAlignment="1">
      <alignment horizontal="left" vertical="center" wrapText="1"/>
    </xf>
    <xf numFmtId="0" fontId="62" fillId="28" borderId="3" xfId="0" quotePrefix="1" applyFont="1" applyFill="1" applyBorder="1" applyAlignment="1">
      <alignment horizontal="center" vertical="center"/>
    </xf>
    <xf numFmtId="172" fontId="62" fillId="28" borderId="3" xfId="0" applyNumberFormat="1" applyFont="1" applyFill="1" applyBorder="1" applyAlignment="1">
      <alignment horizontal="center" vertical="center" wrapText="1"/>
    </xf>
    <xf numFmtId="176" fontId="72" fillId="28" borderId="3" xfId="0" applyNumberFormat="1" applyFont="1" applyFill="1" applyBorder="1" applyAlignment="1">
      <alignment horizontal="center" vertical="center" wrapText="1"/>
    </xf>
    <xf numFmtId="0" fontId="67" fillId="0" borderId="3" xfId="0" quotePrefix="1" applyFont="1" applyFill="1" applyBorder="1" applyAlignment="1">
      <alignment horizontal="center" vertical="center"/>
    </xf>
    <xf numFmtId="0" fontId="71" fillId="0" borderId="0" xfId="0" applyFont="1" applyFill="1" applyAlignment="1">
      <alignment vertical="center"/>
    </xf>
    <xf numFmtId="0" fontId="71" fillId="0" borderId="3" xfId="0" applyFont="1" applyFill="1" applyBorder="1" applyAlignment="1">
      <alignment horizontal="left" vertical="center" wrapText="1"/>
    </xf>
    <xf numFmtId="0" fontId="62" fillId="0" borderId="3" xfId="0" quotePrefix="1" applyFont="1" applyFill="1" applyBorder="1" applyAlignment="1">
      <alignment horizontal="center" vertical="center"/>
    </xf>
    <xf numFmtId="176" fontId="72" fillId="0" borderId="3" xfId="0" applyNumberFormat="1" applyFont="1" applyFill="1" applyBorder="1" applyAlignment="1">
      <alignment vertical="center" wrapText="1"/>
    </xf>
    <xf numFmtId="0" fontId="67" fillId="0" borderId="3" xfId="0" applyFont="1" applyFill="1" applyBorder="1" applyAlignment="1">
      <alignment horizontal="center" vertical="center"/>
    </xf>
    <xf numFmtId="0" fontId="72" fillId="0" borderId="3" xfId="0" applyFont="1" applyFill="1" applyBorder="1" applyAlignment="1">
      <alignment horizontal="left" vertical="center" wrapText="1"/>
    </xf>
    <xf numFmtId="0" fontId="62" fillId="0" borderId="3" xfId="0" quotePrefix="1" applyNumberFormat="1" applyFont="1" applyFill="1" applyBorder="1" applyAlignment="1">
      <alignment horizontal="center" vertical="center" wrapText="1"/>
    </xf>
    <xf numFmtId="0" fontId="67" fillId="0" borderId="3" xfId="0" applyNumberFormat="1" applyFont="1" applyFill="1" applyBorder="1" applyAlignment="1">
      <alignment horizontal="center" vertical="center" wrapText="1"/>
    </xf>
    <xf numFmtId="0" fontId="67" fillId="0" borderId="3" xfId="0" quotePrefix="1" applyNumberFormat="1" applyFont="1" applyFill="1" applyBorder="1" applyAlignment="1">
      <alignment horizontal="center" vertical="center" wrapText="1"/>
    </xf>
    <xf numFmtId="0" fontId="67" fillId="0" borderId="3" xfId="0" applyNumberFormat="1" applyFont="1" applyFill="1" applyBorder="1" applyAlignment="1">
      <alignment horizontal="center" vertical="center"/>
    </xf>
    <xf numFmtId="0" fontId="62" fillId="0" borderId="3" xfId="0" applyNumberFormat="1" applyFont="1" applyFill="1" applyBorder="1" applyAlignment="1">
      <alignment horizontal="center" vertical="center"/>
    </xf>
    <xf numFmtId="178" fontId="62" fillId="0" borderId="3" xfId="0" applyNumberFormat="1" applyFont="1" applyFill="1" applyBorder="1" applyAlignment="1">
      <alignment horizontal="center" vertical="center" wrapText="1"/>
    </xf>
    <xf numFmtId="0" fontId="72" fillId="0" borderId="14" xfId="0" applyFont="1" applyFill="1" applyBorder="1" applyAlignment="1">
      <alignment vertical="center" wrapText="1"/>
    </xf>
    <xf numFmtId="178" fontId="72" fillId="0" borderId="14" xfId="0" applyNumberFormat="1" applyFont="1" applyFill="1" applyBorder="1" applyAlignment="1">
      <alignment vertical="center" wrapText="1"/>
    </xf>
    <xf numFmtId="0" fontId="72" fillId="0" borderId="3" xfId="0" applyFont="1" applyFill="1" applyBorder="1" applyAlignment="1">
      <alignment horizontal="center" vertical="center" wrapText="1"/>
    </xf>
    <xf numFmtId="177" fontId="62" fillId="0" borderId="3" xfId="0" applyNumberFormat="1" applyFont="1" applyFill="1" applyBorder="1" applyAlignment="1">
      <alignment horizontal="center" vertical="center" wrapText="1"/>
    </xf>
    <xf numFmtId="0" fontId="72" fillId="0" borderId="0" xfId="0" applyFont="1" applyFill="1" applyBorder="1" applyAlignment="1">
      <alignment horizontal="left" vertical="center" wrapText="1"/>
    </xf>
    <xf numFmtId="0" fontId="62" fillId="0" borderId="0" xfId="0" quotePrefix="1" applyFont="1" applyFill="1" applyBorder="1" applyAlignment="1">
      <alignment horizontal="center" vertical="center"/>
    </xf>
    <xf numFmtId="169" fontId="67" fillId="0" borderId="0" xfId="0" applyNumberFormat="1" applyFont="1" applyFill="1" applyBorder="1" applyAlignment="1">
      <alignment vertical="center"/>
    </xf>
    <xf numFmtId="0" fontId="62" fillId="0" borderId="0" xfId="0" applyFont="1" applyFill="1" applyBorder="1" applyAlignment="1">
      <alignment horizontal="center" vertical="center"/>
    </xf>
    <xf numFmtId="0" fontId="60" fillId="0" borderId="0" xfId="0" applyFont="1" applyFill="1" applyBorder="1" applyAlignment="1">
      <alignment horizontal="left" vertical="center"/>
    </xf>
    <xf numFmtId="178" fontId="72" fillId="29" borderId="3" xfId="0" applyNumberFormat="1" applyFont="1" applyFill="1" applyBorder="1" applyAlignment="1">
      <alignment horizontal="center" vertical="center" wrapText="1"/>
    </xf>
    <xf numFmtId="176" fontId="72" fillId="29" borderId="3" xfId="0" applyNumberFormat="1" applyFont="1" applyFill="1" applyBorder="1" applyAlignment="1">
      <alignment horizontal="center" vertical="center" wrapText="1"/>
    </xf>
    <xf numFmtId="0" fontId="72" fillId="29" borderId="3" xfId="0" applyFont="1" applyFill="1" applyBorder="1" applyAlignment="1">
      <alignment horizontal="left" vertical="center" wrapText="1"/>
    </xf>
    <xf numFmtId="0" fontId="72" fillId="29" borderId="3" xfId="0" quotePrefix="1" applyFont="1" applyFill="1" applyBorder="1" applyAlignment="1">
      <alignment horizontal="center" vertical="center"/>
    </xf>
    <xf numFmtId="172" fontId="72" fillId="29" borderId="3" xfId="0" applyNumberFormat="1" applyFont="1" applyFill="1" applyBorder="1" applyAlignment="1">
      <alignment horizontal="center" vertical="center" wrapText="1"/>
    </xf>
    <xf numFmtId="176" fontId="72" fillId="31" borderId="3" xfId="0" applyNumberFormat="1" applyFont="1" applyFill="1" applyBorder="1" applyAlignment="1">
      <alignment horizontal="center" vertical="center" wrapText="1"/>
    </xf>
    <xf numFmtId="176" fontId="62" fillId="30" borderId="3" xfId="0" applyNumberFormat="1" applyFont="1" applyFill="1" applyBorder="1" applyAlignment="1">
      <alignment horizontal="center" vertical="center" wrapText="1"/>
    </xf>
    <xf numFmtId="176" fontId="72" fillId="30" borderId="3" xfId="0" applyNumberFormat="1" applyFont="1" applyFill="1" applyBorder="1" applyAlignment="1">
      <alignment horizontal="center" vertical="center" wrapText="1"/>
    </xf>
    <xf numFmtId="176" fontId="67" fillId="30" borderId="3" xfId="0" applyNumberFormat="1" applyFont="1" applyFill="1" applyBorder="1" applyAlignment="1">
      <alignment horizontal="center" vertical="center" wrapText="1"/>
    </xf>
    <xf numFmtId="176" fontId="69" fillId="30" borderId="3" xfId="0" applyNumberFormat="1" applyFont="1" applyFill="1" applyBorder="1" applyAlignment="1">
      <alignment horizontal="center" vertical="center" wrapText="1"/>
    </xf>
    <xf numFmtId="176" fontId="66" fillId="30" borderId="3" xfId="0" applyNumberFormat="1" applyFont="1" applyFill="1" applyBorder="1" applyAlignment="1">
      <alignment horizontal="center" vertical="center" wrapText="1"/>
    </xf>
    <xf numFmtId="176" fontId="69" fillId="30" borderId="3" xfId="0" applyNumberFormat="1" applyFont="1" applyFill="1" applyBorder="1" applyAlignment="1">
      <alignment horizontal="left" vertical="center" wrapText="1"/>
    </xf>
    <xf numFmtId="0" fontId="72" fillId="31" borderId="3" xfId="0" applyFont="1" applyFill="1" applyBorder="1" applyAlignment="1">
      <alignment horizontal="left" vertical="center" wrapText="1"/>
    </xf>
    <xf numFmtId="0" fontId="72" fillId="31" borderId="3" xfId="0" quotePrefix="1" applyFont="1" applyFill="1" applyBorder="1" applyAlignment="1">
      <alignment horizontal="center" vertical="center"/>
    </xf>
    <xf numFmtId="172" fontId="72" fillId="31" borderId="3" xfId="0" applyNumberFormat="1" applyFont="1" applyFill="1" applyBorder="1" applyAlignment="1">
      <alignment horizontal="center" vertical="center" wrapText="1"/>
    </xf>
    <xf numFmtId="169" fontId="72" fillId="28" borderId="3" xfId="0" applyNumberFormat="1" applyFont="1" applyFill="1" applyBorder="1" applyAlignment="1">
      <alignment horizontal="center" vertical="center" wrapText="1"/>
    </xf>
    <xf numFmtId="0" fontId="75" fillId="0" borderId="0" xfId="0" applyFont="1" applyBorder="1" applyAlignment="1">
      <alignment horizontal="center"/>
    </xf>
    <xf numFmtId="0" fontId="76" fillId="0" borderId="3" xfId="0" applyFont="1" applyBorder="1" applyAlignment="1">
      <alignment wrapText="1"/>
    </xf>
    <xf numFmtId="0" fontId="76" fillId="0" borderId="3" xfId="0" applyFont="1" applyFill="1" applyBorder="1"/>
    <xf numFmtId="3" fontId="76" fillId="0" borderId="3" xfId="0" applyNumberFormat="1" applyFont="1" applyBorder="1"/>
    <xf numFmtId="0" fontId="76" fillId="0" borderId="3" xfId="0" applyFont="1" applyBorder="1" applyAlignment="1">
      <alignment horizontal="center"/>
    </xf>
    <xf numFmtId="0" fontId="77" fillId="0" borderId="3" xfId="0" applyFont="1" applyBorder="1" applyAlignment="1">
      <alignment wrapText="1"/>
    </xf>
    <xf numFmtId="1" fontId="77" fillId="0" borderId="3" xfId="0" applyNumberFormat="1" applyFont="1" applyBorder="1"/>
    <xf numFmtId="1" fontId="77" fillId="0" borderId="3" xfId="0" applyNumberFormat="1" applyFont="1" applyBorder="1" applyAlignment="1">
      <alignment horizontal="center"/>
    </xf>
    <xf numFmtId="3" fontId="0" fillId="0" borderId="0" xfId="0" applyNumberFormat="1"/>
    <xf numFmtId="1" fontId="76" fillId="0" borderId="3" xfId="0" applyNumberFormat="1" applyFont="1" applyBorder="1"/>
    <xf numFmtId="1" fontId="76" fillId="0" borderId="3" xfId="0" applyNumberFormat="1" applyFont="1" applyBorder="1" applyAlignment="1">
      <alignment horizontal="center"/>
    </xf>
    <xf numFmtId="3" fontId="76" fillId="0" borderId="3" xfId="0" applyNumberFormat="1" applyFont="1" applyFill="1" applyBorder="1"/>
    <xf numFmtId="3" fontId="76" fillId="0" borderId="3" xfId="0" applyNumberFormat="1" applyFont="1" applyFill="1" applyBorder="1" applyAlignment="1">
      <alignment horizontal="center"/>
    </xf>
    <xf numFmtId="3" fontId="76" fillId="0" borderId="3" xfId="0" applyNumberFormat="1" applyFont="1" applyBorder="1" applyAlignment="1">
      <alignment horizontal="center"/>
    </xf>
    <xf numFmtId="3" fontId="76" fillId="0" borderId="20" xfId="0" applyNumberFormat="1" applyFont="1" applyFill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3" xfId="0" applyFill="1" applyBorder="1"/>
    <xf numFmtId="3" fontId="77" fillId="0" borderId="3" xfId="0" applyNumberFormat="1" applyFont="1" applyFill="1" applyBorder="1"/>
    <xf numFmtId="3" fontId="0" fillId="0" borderId="20" xfId="0" applyNumberFormat="1" applyFill="1" applyBorder="1"/>
    <xf numFmtId="0" fontId="0" fillId="0" borderId="3" xfId="0" applyFont="1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3" xfId="0" applyBorder="1"/>
    <xf numFmtId="3" fontId="78" fillId="0" borderId="3" xfId="0" applyNumberFormat="1" applyFont="1" applyFill="1" applyBorder="1"/>
    <xf numFmtId="0" fontId="76" fillId="22" borderId="3" xfId="0" applyFont="1" applyFill="1" applyBorder="1"/>
    <xf numFmtId="0" fontId="76" fillId="22" borderId="3" xfId="0" applyFont="1" applyFill="1" applyBorder="1" applyAlignment="1">
      <alignment horizontal="center"/>
    </xf>
    <xf numFmtId="0" fontId="0" fillId="0" borderId="3" xfId="0" applyFont="1" applyFill="1" applyBorder="1"/>
    <xf numFmtId="3" fontId="79" fillId="0" borderId="3" xfId="0" applyNumberFormat="1" applyFont="1" applyFill="1" applyBorder="1"/>
    <xf numFmtId="0" fontId="79" fillId="0" borderId="3" xfId="0" applyFont="1" applyBorder="1" applyAlignment="1">
      <alignment horizontal="center"/>
    </xf>
    <xf numFmtId="0" fontId="77" fillId="0" borderId="3" xfId="0" applyFont="1" applyBorder="1" applyAlignment="1">
      <alignment horizontal="center"/>
    </xf>
    <xf numFmtId="0" fontId="79" fillId="0" borderId="3" xfId="0" applyFont="1" applyBorder="1" applyAlignment="1">
      <alignment wrapText="1"/>
    </xf>
    <xf numFmtId="0" fontId="80" fillId="0" borderId="3" xfId="0" applyFont="1" applyFill="1" applyBorder="1" applyAlignment="1">
      <alignment horizontal="left" vertical="center" wrapText="1"/>
    </xf>
    <xf numFmtId="0" fontId="79" fillId="0" borderId="3" xfId="0" applyFont="1" applyFill="1" applyBorder="1"/>
    <xf numFmtId="0" fontId="81" fillId="0" borderId="3" xfId="0" applyFont="1" applyFill="1" applyBorder="1" applyAlignment="1">
      <alignment horizontal="left" vertical="center" wrapText="1"/>
    </xf>
    <xf numFmtId="0" fontId="76" fillId="0" borderId="3" xfId="0" applyFont="1" applyBorder="1"/>
    <xf numFmtId="0" fontId="0" fillId="0" borderId="3" xfId="0" applyFont="1" applyBorder="1" applyAlignment="1">
      <alignment wrapText="1"/>
    </xf>
    <xf numFmtId="0" fontId="76" fillId="0" borderId="3" xfId="0" applyFont="1" applyFill="1" applyBorder="1" applyAlignment="1">
      <alignment wrapText="1"/>
    </xf>
    <xf numFmtId="0" fontId="82" fillId="0" borderId="0" xfId="0" applyFont="1"/>
    <xf numFmtId="3" fontId="0" fillId="0" borderId="0" xfId="0" applyNumberFormat="1" applyFill="1" applyBorder="1"/>
    <xf numFmtId="0" fontId="77" fillId="0" borderId="3" xfId="0" applyFont="1" applyFill="1" applyBorder="1"/>
    <xf numFmtId="0" fontId="76" fillId="30" borderId="3" xfId="0" applyFont="1" applyFill="1" applyBorder="1" applyAlignment="1">
      <alignment wrapText="1"/>
    </xf>
    <xf numFmtId="0" fontId="76" fillId="30" borderId="3" xfId="0" applyFont="1" applyFill="1" applyBorder="1"/>
    <xf numFmtId="3" fontId="76" fillId="30" borderId="3" xfId="0" applyNumberFormat="1" applyFont="1" applyFill="1" applyBorder="1"/>
    <xf numFmtId="3" fontId="40" fillId="0" borderId="3" xfId="0" applyNumberFormat="1" applyFont="1" applyFill="1" applyBorder="1" applyAlignment="1">
      <alignment horizontal="center" vertical="center" wrapText="1"/>
    </xf>
    <xf numFmtId="0" fontId="76" fillId="29" borderId="3" xfId="0" applyFont="1" applyFill="1" applyBorder="1"/>
    <xf numFmtId="3" fontId="76" fillId="29" borderId="3" xfId="0" applyNumberFormat="1" applyFont="1" applyFill="1" applyBorder="1"/>
    <xf numFmtId="3" fontId="0" fillId="0" borderId="3" xfId="0" applyNumberFormat="1" applyBorder="1"/>
    <xf numFmtId="0" fontId="0" fillId="0" borderId="0" xfId="0" applyFill="1"/>
    <xf numFmtId="0" fontId="83" fillId="0" borderId="0" xfId="0" applyFont="1"/>
    <xf numFmtId="0" fontId="75" fillId="0" borderId="3" xfId="0" applyFont="1" applyBorder="1" applyAlignment="1">
      <alignment wrapText="1"/>
    </xf>
    <xf numFmtId="0" fontId="83" fillId="0" borderId="3" xfId="0" applyFont="1" applyBorder="1"/>
    <xf numFmtId="0" fontId="75" fillId="0" borderId="3" xfId="0" applyFont="1" applyBorder="1"/>
    <xf numFmtId="0" fontId="75" fillId="29" borderId="3" xfId="0" applyFont="1" applyFill="1" applyBorder="1" applyAlignment="1">
      <alignment wrapText="1"/>
    </xf>
    <xf numFmtId="0" fontId="75" fillId="29" borderId="3" xfId="0" applyFont="1" applyFill="1" applyBorder="1"/>
    <xf numFmtId="0" fontId="83" fillId="29" borderId="3" xfId="0" applyFont="1" applyFill="1" applyBorder="1"/>
    <xf numFmtId="178" fontId="75" fillId="29" borderId="3" xfId="0" applyNumberFormat="1" applyFont="1" applyFill="1" applyBorder="1"/>
    <xf numFmtId="0" fontId="84" fillId="0" borderId="3" xfId="0" applyFont="1" applyBorder="1" applyAlignment="1">
      <alignment wrapText="1"/>
    </xf>
    <xf numFmtId="0" fontId="85" fillId="0" borderId="3" xfId="0" applyFont="1" applyBorder="1"/>
    <xf numFmtId="178" fontId="84" fillId="0" borderId="3" xfId="0" applyNumberFormat="1" applyFont="1" applyBorder="1"/>
    <xf numFmtId="178" fontId="85" fillId="0" borderId="3" xfId="0" applyNumberFormat="1" applyFont="1" applyBorder="1"/>
    <xf numFmtId="0" fontId="84" fillId="0" borderId="3" xfId="0" applyFont="1" applyBorder="1" applyAlignment="1"/>
    <xf numFmtId="0" fontId="84" fillId="0" borderId="3" xfId="0" applyFont="1" applyBorder="1"/>
    <xf numFmtId="178" fontId="83" fillId="0" borderId="3" xfId="0" applyNumberFormat="1" applyFont="1" applyBorder="1"/>
    <xf numFmtId="178" fontId="75" fillId="0" borderId="3" xfId="0" applyNumberFormat="1" applyFont="1" applyBorder="1"/>
    <xf numFmtId="0" fontId="85" fillId="0" borderId="3" xfId="0" applyFont="1" applyBorder="1" applyAlignment="1">
      <alignment wrapText="1"/>
    </xf>
    <xf numFmtId="0" fontId="85" fillId="0" borderId="3" xfId="0" applyFont="1" applyBorder="1" applyAlignment="1"/>
    <xf numFmtId="0" fontId="60" fillId="0" borderId="0" xfId="0" applyFont="1" applyFill="1" applyBorder="1" applyAlignment="1">
      <alignment horizontal="left" vertical="center"/>
    </xf>
    <xf numFmtId="0" fontId="60" fillId="0" borderId="0" xfId="0" applyFont="1" applyFill="1" applyBorder="1" applyAlignment="1">
      <alignment horizontal="center" vertical="center"/>
    </xf>
    <xf numFmtId="0" fontId="72" fillId="0" borderId="18" xfId="0" applyFont="1" applyFill="1" applyBorder="1" applyAlignment="1">
      <alignment horizontal="left" vertical="center" wrapText="1"/>
    </xf>
    <xf numFmtId="0" fontId="72" fillId="0" borderId="14" xfId="0" applyFont="1" applyFill="1" applyBorder="1" applyAlignment="1">
      <alignment horizontal="left" vertical="center" wrapText="1"/>
    </xf>
    <xf numFmtId="169" fontId="62" fillId="0" borderId="0" xfId="0" applyNumberFormat="1" applyFont="1" applyFill="1" applyBorder="1" applyAlignment="1">
      <alignment horizontal="left" vertical="center" wrapText="1"/>
    </xf>
    <xf numFmtId="0" fontId="62" fillId="0" borderId="13" xfId="0" applyFont="1" applyFill="1" applyBorder="1" applyAlignment="1">
      <alignment horizontal="center" vertical="center"/>
    </xf>
    <xf numFmtId="169" fontId="60" fillId="0" borderId="0" xfId="0" applyNumberFormat="1" applyFont="1" applyFill="1" applyBorder="1" applyAlignment="1">
      <alignment horizontal="left" vertical="center" wrapText="1"/>
    </xf>
    <xf numFmtId="0" fontId="66" fillId="0" borderId="17" xfId="0" applyFont="1" applyFill="1" applyBorder="1" applyAlignment="1">
      <alignment horizontal="center" vertical="center" wrapText="1"/>
    </xf>
    <xf numFmtId="0" fontId="66" fillId="0" borderId="19" xfId="0" applyFont="1" applyFill="1" applyBorder="1" applyAlignment="1">
      <alignment horizontal="center" vertical="center" wrapText="1"/>
    </xf>
    <xf numFmtId="0" fontId="69" fillId="0" borderId="14" xfId="0" applyFont="1" applyFill="1" applyBorder="1" applyAlignment="1">
      <alignment horizontal="left" vertical="center" wrapText="1"/>
    </xf>
    <xf numFmtId="0" fontId="69" fillId="0" borderId="15" xfId="0" applyFont="1" applyFill="1" applyBorder="1" applyAlignment="1">
      <alignment horizontal="left" vertical="center" wrapText="1"/>
    </xf>
    <xf numFmtId="0" fontId="69" fillId="0" borderId="18" xfId="0" applyFont="1" applyFill="1" applyBorder="1" applyAlignment="1">
      <alignment horizontal="left" vertical="center" wrapText="1"/>
    </xf>
    <xf numFmtId="0" fontId="72" fillId="0" borderId="15" xfId="0" applyFont="1" applyFill="1" applyBorder="1" applyAlignment="1">
      <alignment horizontal="left" vertical="center" wrapText="1"/>
    </xf>
    <xf numFmtId="0" fontId="62" fillId="0" borderId="14" xfId="0" applyFont="1" applyFill="1" applyBorder="1" applyAlignment="1">
      <alignment horizontal="center" vertical="center" wrapText="1"/>
    </xf>
    <xf numFmtId="0" fontId="61" fillId="0" borderId="0" xfId="0" applyFont="1" applyFill="1" applyBorder="1" applyAlignment="1">
      <alignment horizontal="center" vertical="center"/>
    </xf>
    <xf numFmtId="0" fontId="61" fillId="0" borderId="13" xfId="0" applyFont="1" applyFill="1" applyBorder="1" applyAlignment="1">
      <alignment horizontal="center" vertical="center" wrapText="1"/>
    </xf>
    <xf numFmtId="0" fontId="62" fillId="0" borderId="17" xfId="0" applyFont="1" applyFill="1" applyBorder="1" applyAlignment="1">
      <alignment horizontal="center" vertical="center"/>
    </xf>
    <xf numFmtId="0" fontId="62" fillId="0" borderId="19" xfId="0" applyFont="1" applyFill="1" applyBorder="1" applyAlignment="1">
      <alignment horizontal="center" vertical="center"/>
    </xf>
    <xf numFmtId="0" fontId="62" fillId="0" borderId="17" xfId="0" applyFont="1" applyFill="1" applyBorder="1" applyAlignment="1">
      <alignment horizontal="center" vertical="center" wrapText="1"/>
    </xf>
    <xf numFmtId="0" fontId="62" fillId="0" borderId="19" xfId="0" applyFont="1" applyFill="1" applyBorder="1" applyAlignment="1">
      <alignment horizontal="center" vertical="center" wrapText="1"/>
    </xf>
    <xf numFmtId="0" fontId="62" fillId="0" borderId="18" xfId="0" applyFont="1" applyFill="1" applyBorder="1" applyAlignment="1">
      <alignment horizontal="center" vertical="center" wrapText="1"/>
    </xf>
    <xf numFmtId="0" fontId="62" fillId="0" borderId="15" xfId="0" applyFont="1" applyFill="1" applyBorder="1" applyAlignment="1">
      <alignment horizontal="center" vertical="center" wrapText="1"/>
    </xf>
    <xf numFmtId="0" fontId="62" fillId="0" borderId="14" xfId="0" applyFont="1" applyFill="1" applyBorder="1" applyAlignment="1">
      <alignment horizontal="left" vertical="center" wrapText="1"/>
    </xf>
    <xf numFmtId="0" fontId="62" fillId="0" borderId="15" xfId="0" applyFont="1" applyFill="1" applyBorder="1" applyAlignment="1">
      <alignment horizontal="left" vertical="center" wrapText="1"/>
    </xf>
    <xf numFmtId="0" fontId="62" fillId="22" borderId="14" xfId="0" applyFont="1" applyFill="1" applyBorder="1" applyAlignment="1">
      <alignment horizontal="center" vertical="center" wrapText="1"/>
    </xf>
    <xf numFmtId="0" fontId="62" fillId="0" borderId="0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horizontal="center" vertical="center"/>
    </xf>
    <xf numFmtId="0" fontId="62" fillId="0" borderId="18" xfId="0" applyFont="1" applyFill="1" applyBorder="1" applyAlignment="1">
      <alignment horizontal="center" vertical="center"/>
    </xf>
    <xf numFmtId="0" fontId="62" fillId="0" borderId="15" xfId="0" applyFont="1" applyFill="1" applyBorder="1" applyAlignment="1">
      <alignment horizontal="center" vertical="center"/>
    </xf>
    <xf numFmtId="0" fontId="62" fillId="0" borderId="13" xfId="0" applyFont="1" applyFill="1" applyBorder="1" applyAlignment="1">
      <alignment horizontal="left" vertical="center" wrapText="1"/>
    </xf>
    <xf numFmtId="0" fontId="74" fillId="0" borderId="0" xfId="0" applyFont="1" applyAlignment="1">
      <alignment horizontal="center"/>
    </xf>
    <xf numFmtId="0" fontId="75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86" fillId="0" borderId="0" xfId="0" applyFont="1" applyAlignment="1">
      <alignment horizontal="center"/>
    </xf>
    <xf numFmtId="0" fontId="75" fillId="0" borderId="13" xfId="0" applyFont="1" applyBorder="1" applyAlignment="1">
      <alignment horizontal="center"/>
    </xf>
    <xf numFmtId="0" fontId="75" fillId="0" borderId="0" xfId="0" applyFont="1" applyAlignment="1">
      <alignment horizontal="center"/>
    </xf>
    <xf numFmtId="0" fontId="66" fillId="0" borderId="13" xfId="0" applyFont="1" applyFill="1" applyBorder="1" applyAlignment="1">
      <alignment horizontal="left" vertical="center"/>
    </xf>
    <xf numFmtId="0" fontId="66" fillId="0" borderId="13" xfId="0" applyFont="1" applyFill="1" applyBorder="1" applyAlignment="1">
      <alignment horizontal="left" vertical="center"/>
    </xf>
    <xf numFmtId="0" fontId="66" fillId="0" borderId="14" xfId="0" applyFont="1" applyFill="1" applyBorder="1" applyAlignment="1">
      <alignment horizontal="center" vertical="center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calcChain" Target="calcChain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externalLink" Target="externalLinks/externalLink26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8A4~1/AppData/Local/Temp/7zO440CCF4D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Лист 1"/>
      <sheetName val="Real_GDP_&amp;_Real_IP_(u)"/>
      <sheetName val="Real_GDP_&amp;_Real_IP_(e)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5"/>
  <sheetViews>
    <sheetView tabSelected="1" topLeftCell="A149" workbookViewId="0">
      <selection activeCell="M159" sqref="M159"/>
    </sheetView>
  </sheetViews>
  <sheetFormatPr defaultRowHeight="15.75"/>
  <cols>
    <col min="1" max="1" width="57.5703125" style="2" customWidth="1"/>
    <col min="2" max="2" width="5.140625" style="18" customWidth="1"/>
    <col min="3" max="3" width="6.85546875" style="18" customWidth="1"/>
    <col min="4" max="4" width="11.140625" style="18" customWidth="1"/>
    <col min="5" max="5" width="11" style="2" customWidth="1"/>
    <col min="6" max="6" width="9.7109375" style="2" customWidth="1"/>
    <col min="7" max="7" width="9.85546875" style="2" customWidth="1"/>
    <col min="8" max="8" width="11.28515625" style="2" customWidth="1"/>
    <col min="9" max="9" width="10.85546875" style="2" customWidth="1"/>
    <col min="10" max="10" width="69.28515625" style="2" hidden="1" customWidth="1"/>
    <col min="11" max="11" width="9.140625" style="2"/>
    <col min="12" max="12" width="9.7109375" style="2" bestFit="1" customWidth="1"/>
    <col min="13" max="16384" width="9.140625" style="2"/>
  </cols>
  <sheetData>
    <row r="1" spans="1:12" ht="12" customHeight="1">
      <c r="A1" s="59"/>
      <c r="B1" s="59"/>
      <c r="C1" s="59"/>
      <c r="D1" s="59"/>
      <c r="E1" s="59"/>
      <c r="F1" s="59" t="s">
        <v>173</v>
      </c>
      <c r="G1" s="59"/>
      <c r="H1" s="59"/>
      <c r="I1" s="59"/>
    </row>
    <row r="2" spans="1:12" ht="24" customHeight="1">
      <c r="A2" s="59"/>
      <c r="B2" s="59"/>
      <c r="C2" s="59"/>
      <c r="D2" s="59"/>
      <c r="E2" s="59"/>
      <c r="F2" s="217" t="s">
        <v>287</v>
      </c>
      <c r="G2" s="217"/>
      <c r="H2" s="217"/>
      <c r="I2" s="217"/>
      <c r="J2" s="16"/>
      <c r="K2" s="16"/>
      <c r="L2" s="16"/>
    </row>
    <row r="3" spans="1:12" ht="12" customHeight="1">
      <c r="A3" s="59"/>
      <c r="B3" s="59"/>
      <c r="C3" s="59"/>
      <c r="D3" s="59"/>
      <c r="E3" s="59"/>
      <c r="F3" s="59" t="s">
        <v>300</v>
      </c>
      <c r="G3" s="59"/>
      <c r="H3" s="59"/>
      <c r="I3" s="59"/>
    </row>
    <row r="4" spans="1:12" ht="0.75" customHeight="1">
      <c r="A4" s="59"/>
      <c r="B4" s="109"/>
      <c r="C4" s="109"/>
      <c r="D4" s="109"/>
      <c r="E4" s="59"/>
      <c r="F4" s="59"/>
      <c r="G4" s="59"/>
      <c r="H4" s="59"/>
      <c r="I4" s="59"/>
    </row>
    <row r="5" spans="1:12" ht="12" customHeight="1">
      <c r="A5" s="59"/>
      <c r="B5" s="59"/>
      <c r="C5" s="59"/>
      <c r="D5" s="59"/>
      <c r="E5" s="59"/>
      <c r="F5" s="59"/>
      <c r="G5" s="59"/>
      <c r="H5" s="218" t="s">
        <v>80</v>
      </c>
      <c r="I5" s="218"/>
    </row>
    <row r="6" spans="1:12" ht="6.75" customHeight="1">
      <c r="A6" s="59"/>
      <c r="B6" s="59"/>
      <c r="C6" s="59"/>
      <c r="D6" s="59"/>
      <c r="E6" s="59"/>
      <c r="F6" s="59"/>
      <c r="G6" s="59"/>
      <c r="H6" s="59"/>
      <c r="I6" s="59"/>
    </row>
    <row r="7" spans="1:12" ht="12" customHeight="1">
      <c r="A7" s="59"/>
      <c r="B7" s="59"/>
      <c r="C7" s="59"/>
      <c r="D7" s="59"/>
      <c r="E7" s="59"/>
      <c r="F7" s="59"/>
      <c r="G7" s="59"/>
      <c r="H7" s="61" t="s">
        <v>57</v>
      </c>
      <c r="I7" s="20"/>
    </row>
    <row r="8" spans="1:12" ht="11.25" customHeight="1">
      <c r="A8" s="59"/>
      <c r="B8" s="59"/>
      <c r="C8" s="59"/>
      <c r="D8" s="59"/>
      <c r="E8" s="59"/>
      <c r="F8" s="59"/>
      <c r="G8" s="59"/>
      <c r="H8" s="61" t="s">
        <v>58</v>
      </c>
      <c r="I8" s="20" t="s">
        <v>112</v>
      </c>
    </row>
    <row r="9" spans="1:12" ht="11.25" customHeight="1">
      <c r="A9" s="59"/>
      <c r="B9" s="59"/>
      <c r="C9" s="59"/>
      <c r="D9" s="59"/>
      <c r="E9" s="59"/>
      <c r="F9" s="59"/>
      <c r="G9" s="59"/>
      <c r="H9" s="61" t="s">
        <v>59</v>
      </c>
      <c r="I9" s="20"/>
    </row>
    <row r="10" spans="1:12" ht="12" customHeight="1">
      <c r="A10" s="59"/>
      <c r="B10" s="59"/>
      <c r="C10" s="59"/>
      <c r="D10" s="59"/>
      <c r="E10" s="59"/>
      <c r="F10" s="59"/>
      <c r="G10" s="59"/>
      <c r="H10" s="61" t="s">
        <v>60</v>
      </c>
      <c r="I10" s="20" t="s">
        <v>161</v>
      </c>
    </row>
    <row r="11" spans="1:12" ht="12" customHeight="1">
      <c r="A11" s="59"/>
      <c r="B11" s="59"/>
      <c r="C11" s="59"/>
      <c r="D11" s="59"/>
      <c r="E11" s="59"/>
      <c r="F11" s="59"/>
      <c r="G11" s="59"/>
      <c r="H11" s="219" t="s">
        <v>61</v>
      </c>
      <c r="I11" s="220"/>
    </row>
    <row r="12" spans="1:12" ht="7.5" customHeight="1">
      <c r="A12" s="59"/>
      <c r="B12" s="109"/>
      <c r="C12" s="109"/>
      <c r="D12" s="109"/>
      <c r="E12" s="59"/>
      <c r="F12" s="59"/>
      <c r="G12" s="59"/>
      <c r="H12" s="59"/>
      <c r="I12" s="59"/>
    </row>
    <row r="13" spans="1:12" ht="3.75" hidden="1" customHeight="1">
      <c r="A13" s="59"/>
      <c r="B13" s="109"/>
      <c r="C13" s="109"/>
      <c r="D13" s="109"/>
      <c r="E13" s="59"/>
      <c r="F13" s="59"/>
      <c r="G13" s="59"/>
      <c r="H13" s="59"/>
      <c r="I13" s="59"/>
    </row>
    <row r="14" spans="1:12" ht="9" customHeight="1">
      <c r="A14" s="59"/>
      <c r="B14" s="221"/>
      <c r="C14" s="221"/>
      <c r="D14" s="221"/>
      <c r="E14" s="221"/>
      <c r="F14" s="59"/>
      <c r="G14" s="59"/>
      <c r="H14" s="219" t="s">
        <v>39</v>
      </c>
      <c r="I14" s="220"/>
    </row>
    <row r="15" spans="1:12" ht="12" customHeight="1">
      <c r="A15" s="62" t="s">
        <v>10</v>
      </c>
      <c r="B15" s="205" t="s">
        <v>167</v>
      </c>
      <c r="C15" s="205"/>
      <c r="D15" s="205"/>
      <c r="E15" s="205"/>
      <c r="F15" s="205"/>
      <c r="G15" s="213"/>
      <c r="H15" s="61" t="s">
        <v>28</v>
      </c>
      <c r="I15" s="20">
        <v>38402043</v>
      </c>
    </row>
    <row r="16" spans="1:12" ht="13.5" customHeight="1">
      <c r="A16" s="62" t="s">
        <v>11</v>
      </c>
      <c r="B16" s="214" t="s">
        <v>134</v>
      </c>
      <c r="C16" s="214"/>
      <c r="D16" s="214"/>
      <c r="E16" s="214"/>
      <c r="F16" s="60"/>
      <c r="G16" s="64"/>
      <c r="H16" s="61" t="s">
        <v>27</v>
      </c>
      <c r="I16" s="20">
        <v>150</v>
      </c>
    </row>
    <row r="17" spans="1:10" ht="12" customHeight="1">
      <c r="A17" s="62" t="s">
        <v>16</v>
      </c>
      <c r="B17" s="214" t="s">
        <v>109</v>
      </c>
      <c r="C17" s="214"/>
      <c r="D17" s="214"/>
      <c r="E17" s="214"/>
      <c r="F17" s="60"/>
      <c r="G17" s="64"/>
      <c r="H17" s="61" t="s">
        <v>26</v>
      </c>
      <c r="I17" s="21">
        <v>6825500000</v>
      </c>
    </row>
    <row r="18" spans="1:10" ht="9.75" customHeight="1">
      <c r="A18" s="62" t="s">
        <v>138</v>
      </c>
      <c r="B18" s="214"/>
      <c r="C18" s="214"/>
      <c r="D18" s="214"/>
      <c r="E18" s="214"/>
      <c r="F18" s="65"/>
      <c r="G18" s="63"/>
      <c r="H18" s="61" t="s">
        <v>6</v>
      </c>
      <c r="I18" s="20"/>
    </row>
    <row r="19" spans="1:10" ht="10.5" customHeight="1">
      <c r="A19" s="62" t="s">
        <v>13</v>
      </c>
      <c r="B19" s="214"/>
      <c r="C19" s="214"/>
      <c r="D19" s="214"/>
      <c r="E19" s="214"/>
      <c r="F19" s="65"/>
      <c r="G19" s="63"/>
      <c r="H19" s="61" t="s">
        <v>5</v>
      </c>
      <c r="I19" s="20"/>
    </row>
    <row r="20" spans="1:10" ht="13.5" customHeight="1">
      <c r="A20" s="62" t="s">
        <v>12</v>
      </c>
      <c r="B20" s="214"/>
      <c r="C20" s="214"/>
      <c r="D20" s="214"/>
      <c r="E20" s="214"/>
      <c r="F20" s="65"/>
      <c r="G20" s="66"/>
      <c r="H20" s="67" t="s">
        <v>7</v>
      </c>
      <c r="I20" s="20" t="s">
        <v>43</v>
      </c>
    </row>
    <row r="21" spans="1:10" ht="12.75" customHeight="1">
      <c r="A21" s="62" t="s">
        <v>133</v>
      </c>
      <c r="B21" s="214"/>
      <c r="C21" s="214"/>
      <c r="D21" s="214"/>
      <c r="E21" s="214"/>
      <c r="F21" s="214" t="s">
        <v>34</v>
      </c>
      <c r="G21" s="214"/>
      <c r="H21" s="215"/>
      <c r="I21" s="68" t="s">
        <v>46</v>
      </c>
    </row>
    <row r="22" spans="1:10" ht="12" customHeight="1">
      <c r="A22" s="62" t="s">
        <v>17</v>
      </c>
      <c r="B22" s="214" t="s">
        <v>45</v>
      </c>
      <c r="C22" s="214"/>
      <c r="D22" s="214"/>
      <c r="E22" s="214"/>
      <c r="F22" s="214" t="s">
        <v>35</v>
      </c>
      <c r="G22" s="214"/>
      <c r="H22" s="215"/>
      <c r="I22" s="69"/>
    </row>
    <row r="23" spans="1:10" ht="11.25" customHeight="1">
      <c r="A23" s="62" t="s">
        <v>23</v>
      </c>
      <c r="B23" s="216">
        <v>286</v>
      </c>
      <c r="C23" s="216"/>
      <c r="D23" s="216"/>
      <c r="E23" s="216"/>
      <c r="F23" s="65"/>
      <c r="G23" s="65"/>
      <c r="H23" s="65"/>
      <c r="I23" s="63"/>
    </row>
    <row r="24" spans="1:10" ht="18" customHeight="1">
      <c r="A24" s="62" t="s">
        <v>8</v>
      </c>
      <c r="B24" s="205" t="s">
        <v>160</v>
      </c>
      <c r="C24" s="205"/>
      <c r="D24" s="205"/>
      <c r="E24" s="205"/>
      <c r="F24" s="205"/>
      <c r="G24" s="60"/>
      <c r="H24" s="60"/>
      <c r="I24" s="64"/>
    </row>
    <row r="25" spans="1:10">
      <c r="A25" s="62" t="s">
        <v>9</v>
      </c>
      <c r="B25" s="205" t="s">
        <v>122</v>
      </c>
      <c r="C25" s="205"/>
      <c r="D25" s="205"/>
      <c r="E25" s="205"/>
      <c r="F25" s="65"/>
      <c r="G25" s="65"/>
      <c r="H25" s="65"/>
      <c r="I25" s="63"/>
    </row>
    <row r="26" spans="1:10">
      <c r="A26" s="62" t="s">
        <v>44</v>
      </c>
      <c r="B26" s="205" t="s">
        <v>110</v>
      </c>
      <c r="C26" s="205"/>
      <c r="D26" s="205"/>
      <c r="E26" s="205"/>
      <c r="F26" s="60"/>
      <c r="G26" s="60"/>
      <c r="H26" s="60"/>
      <c r="I26" s="64"/>
    </row>
    <row r="27" spans="1:10" ht="9.75" customHeight="1">
      <c r="A27" s="59"/>
      <c r="B27" s="109"/>
      <c r="C27" s="109"/>
      <c r="D27" s="109"/>
      <c r="E27" s="59"/>
      <c r="F27" s="59"/>
      <c r="G27" s="59"/>
      <c r="H27" s="59"/>
      <c r="I27" s="59"/>
    </row>
    <row r="28" spans="1:10" ht="13.5" customHeight="1">
      <c r="A28" s="206" t="s">
        <v>131</v>
      </c>
      <c r="B28" s="206"/>
      <c r="C28" s="206"/>
      <c r="D28" s="206"/>
      <c r="E28" s="206"/>
      <c r="F28" s="206"/>
      <c r="G28" s="206"/>
      <c r="H28" s="206"/>
      <c r="I28" s="206"/>
    </row>
    <row r="29" spans="1:10" ht="14.25" customHeight="1">
      <c r="A29" s="3"/>
      <c r="B29" s="19"/>
      <c r="C29" s="207" t="s">
        <v>298</v>
      </c>
      <c r="D29" s="207"/>
      <c r="E29" s="3"/>
      <c r="F29" s="3"/>
      <c r="G29" s="3"/>
      <c r="H29" s="3"/>
      <c r="I29" s="3" t="s">
        <v>63</v>
      </c>
    </row>
    <row r="30" spans="1:10">
      <c r="A30" s="208" t="s">
        <v>40</v>
      </c>
      <c r="B30" s="210" t="s">
        <v>14</v>
      </c>
      <c r="C30" s="210"/>
      <c r="D30" s="210" t="s">
        <v>159</v>
      </c>
      <c r="E30" s="210" t="s">
        <v>158</v>
      </c>
      <c r="F30" s="212" t="s">
        <v>30</v>
      </c>
      <c r="G30" s="205"/>
      <c r="H30" s="205"/>
      <c r="I30" s="213"/>
      <c r="J30" s="199" t="s">
        <v>37</v>
      </c>
    </row>
    <row r="31" spans="1:10" ht="23.25" customHeight="1">
      <c r="A31" s="209"/>
      <c r="B31" s="211"/>
      <c r="C31" s="211"/>
      <c r="D31" s="211"/>
      <c r="E31" s="211"/>
      <c r="F31" s="70" t="s">
        <v>31</v>
      </c>
      <c r="G31" s="70" t="s">
        <v>32</v>
      </c>
      <c r="H31" s="70" t="s">
        <v>33</v>
      </c>
      <c r="I31" s="70" t="s">
        <v>22</v>
      </c>
      <c r="J31" s="200"/>
    </row>
    <row r="32" spans="1:10" ht="12" customHeight="1">
      <c r="A32" s="27">
        <v>1</v>
      </c>
      <c r="B32" s="68">
        <v>2</v>
      </c>
      <c r="C32" s="68">
        <v>3</v>
      </c>
      <c r="D32" s="68">
        <v>4</v>
      </c>
      <c r="E32" s="68">
        <v>5</v>
      </c>
      <c r="F32" s="68">
        <v>6</v>
      </c>
      <c r="G32" s="68">
        <v>7</v>
      </c>
      <c r="H32" s="68">
        <v>8</v>
      </c>
      <c r="I32" s="68">
        <v>9</v>
      </c>
      <c r="J32" s="28">
        <v>10</v>
      </c>
    </row>
    <row r="33" spans="1:10" ht="12" customHeight="1">
      <c r="A33" s="201" t="s">
        <v>56</v>
      </c>
      <c r="B33" s="201"/>
      <c r="C33" s="201"/>
      <c r="D33" s="201"/>
      <c r="E33" s="201"/>
      <c r="F33" s="201"/>
      <c r="G33" s="201"/>
      <c r="H33" s="201"/>
      <c r="I33" s="202"/>
      <c r="J33" s="28"/>
    </row>
    <row r="34" spans="1:10" s="4" customFormat="1" ht="14.25" customHeight="1">
      <c r="A34" s="203" t="s">
        <v>70</v>
      </c>
      <c r="B34" s="201"/>
      <c r="C34" s="201"/>
      <c r="D34" s="201"/>
      <c r="E34" s="201"/>
      <c r="F34" s="201"/>
      <c r="G34" s="201"/>
      <c r="H34" s="201"/>
      <c r="I34" s="201"/>
      <c r="J34" s="202"/>
    </row>
    <row r="35" spans="1:10" s="4" customFormat="1" ht="18" customHeight="1">
      <c r="A35" s="22" t="s">
        <v>62</v>
      </c>
      <c r="B35" s="26">
        <v>100</v>
      </c>
      <c r="C35" s="29"/>
      <c r="D35" s="30">
        <v>42647.7</v>
      </c>
      <c r="E35" s="31">
        <f t="shared" ref="E35:E135" si="0">SUM(F35:I35)</f>
        <v>41605</v>
      </c>
      <c r="F35" s="32">
        <v>9911.4</v>
      </c>
      <c r="G35" s="32">
        <v>10345</v>
      </c>
      <c r="H35" s="32">
        <f>10259.5+346.6</f>
        <v>10606.1</v>
      </c>
      <c r="I35" s="32">
        <f>10222+520.5</f>
        <v>10742.5</v>
      </c>
      <c r="J35" s="33"/>
    </row>
    <row r="36" spans="1:10" s="4" customFormat="1" ht="30">
      <c r="A36" s="22" t="s">
        <v>142</v>
      </c>
      <c r="B36" s="26">
        <v>101</v>
      </c>
      <c r="C36" s="29"/>
      <c r="D36" s="30"/>
      <c r="E36" s="31">
        <f t="shared" si="0"/>
        <v>4008.8</v>
      </c>
      <c r="F36" s="32">
        <v>0</v>
      </c>
      <c r="G36" s="32">
        <v>253.2</v>
      </c>
      <c r="H36" s="32">
        <f>2616.3</f>
        <v>2616.3000000000002</v>
      </c>
      <c r="I36" s="32">
        <v>1139.3</v>
      </c>
      <c r="J36" s="33"/>
    </row>
    <row r="37" spans="1:10" s="4" customFormat="1" ht="29.25" customHeight="1">
      <c r="A37" s="22" t="s">
        <v>143</v>
      </c>
      <c r="B37" s="26">
        <v>102</v>
      </c>
      <c r="C37" s="29"/>
      <c r="D37" s="30"/>
      <c r="E37" s="31">
        <f t="shared" si="0"/>
        <v>100</v>
      </c>
      <c r="F37" s="32">
        <v>0</v>
      </c>
      <c r="G37" s="32"/>
      <c r="H37" s="32">
        <v>100</v>
      </c>
      <c r="I37" s="32">
        <v>0</v>
      </c>
      <c r="J37" s="33"/>
    </row>
    <row r="38" spans="1:10" s="4" customFormat="1">
      <c r="A38" s="22" t="s">
        <v>144</v>
      </c>
      <c r="B38" s="26">
        <v>103</v>
      </c>
      <c r="C38" s="29"/>
      <c r="D38" s="30"/>
      <c r="E38" s="31">
        <f t="shared" si="0"/>
        <v>1500</v>
      </c>
      <c r="F38" s="32">
        <v>0</v>
      </c>
      <c r="G38" s="32">
        <v>590</v>
      </c>
      <c r="H38" s="32">
        <v>580</v>
      </c>
      <c r="I38" s="32">
        <v>330</v>
      </c>
      <c r="J38" s="33"/>
    </row>
    <row r="39" spans="1:10" s="4" customFormat="1">
      <c r="A39" s="22" t="s">
        <v>155</v>
      </c>
      <c r="B39" s="26">
        <v>104</v>
      </c>
      <c r="C39" s="29"/>
      <c r="D39" s="30"/>
      <c r="E39" s="31">
        <f t="shared" si="0"/>
        <v>286.39999999999998</v>
      </c>
      <c r="F39" s="32">
        <v>71.599999999999994</v>
      </c>
      <c r="G39" s="32">
        <v>71.599999999999994</v>
      </c>
      <c r="H39" s="32">
        <v>71.599999999999994</v>
      </c>
      <c r="I39" s="32">
        <v>71.599999999999994</v>
      </c>
      <c r="J39" s="33"/>
    </row>
    <row r="40" spans="1:10" s="4" customFormat="1" ht="23.25" customHeight="1">
      <c r="A40" s="58" t="s">
        <v>111</v>
      </c>
      <c r="B40" s="26">
        <v>110</v>
      </c>
      <c r="C40" s="34"/>
      <c r="D40" s="30"/>
      <c r="E40" s="31">
        <f t="shared" si="0"/>
        <v>0</v>
      </c>
      <c r="F40" s="32"/>
      <c r="G40" s="32"/>
      <c r="H40" s="32"/>
      <c r="I40" s="32"/>
      <c r="J40" s="33"/>
    </row>
    <row r="41" spans="1:10" s="4" customFormat="1">
      <c r="A41" s="22" t="s">
        <v>126</v>
      </c>
      <c r="B41" s="26">
        <v>120</v>
      </c>
      <c r="C41" s="34"/>
      <c r="D41" s="30">
        <f>D42+D43</f>
        <v>0</v>
      </c>
      <c r="E41" s="31">
        <f t="shared" si="0"/>
        <v>1364.3</v>
      </c>
      <c r="F41" s="31">
        <f>F44+F45+F46+F47</f>
        <v>0</v>
      </c>
      <c r="G41" s="31">
        <f>G44+G45+G46+G47</f>
        <v>454.2</v>
      </c>
      <c r="H41" s="31">
        <f t="shared" ref="H41:I41" si="1">H44+H45+H46+H47</f>
        <v>448.79999999999995</v>
      </c>
      <c r="I41" s="31">
        <f t="shared" si="1"/>
        <v>461.3</v>
      </c>
      <c r="J41" s="33"/>
    </row>
    <row r="42" spans="1:10" s="4" customFormat="1" ht="11.25" customHeight="1">
      <c r="A42" s="23"/>
      <c r="B42" s="35">
        <v>121</v>
      </c>
      <c r="C42" s="36"/>
      <c r="D42" s="37"/>
      <c r="E42" s="31">
        <f t="shared" si="0"/>
        <v>0</v>
      </c>
      <c r="F42" s="31"/>
      <c r="G42" s="31"/>
      <c r="H42" s="31"/>
      <c r="I42" s="31"/>
      <c r="J42" s="33"/>
    </row>
    <row r="43" spans="1:10" s="4" customFormat="1" ht="9.75" customHeight="1">
      <c r="A43" s="23"/>
      <c r="B43" s="35">
        <v>122</v>
      </c>
      <c r="C43" s="36"/>
      <c r="D43" s="37"/>
      <c r="E43" s="31">
        <f t="shared" si="0"/>
        <v>0</v>
      </c>
      <c r="F43" s="31"/>
      <c r="G43" s="31"/>
      <c r="H43" s="31"/>
      <c r="I43" s="31"/>
      <c r="J43" s="33"/>
    </row>
    <row r="44" spans="1:10" s="4" customFormat="1" ht="25.5">
      <c r="A44" s="58" t="s">
        <v>152</v>
      </c>
      <c r="B44" s="26">
        <v>123</v>
      </c>
      <c r="C44" s="36"/>
      <c r="D44" s="30"/>
      <c r="E44" s="31">
        <f t="shared" si="0"/>
        <v>206.6</v>
      </c>
      <c r="F44" s="31"/>
      <c r="G44" s="32">
        <v>69</v>
      </c>
      <c r="H44" s="32">
        <v>68.599999999999994</v>
      </c>
      <c r="I44" s="32">
        <v>69</v>
      </c>
      <c r="J44" s="33"/>
    </row>
    <row r="45" spans="1:10" s="4" customFormat="1" ht="38.25">
      <c r="A45" s="58" t="s">
        <v>151</v>
      </c>
      <c r="B45" s="76">
        <v>124</v>
      </c>
      <c r="C45" s="77"/>
      <c r="D45" s="78"/>
      <c r="E45" s="31">
        <f t="shared" si="0"/>
        <v>232</v>
      </c>
      <c r="F45" s="73">
        <v>0</v>
      </c>
      <c r="G45" s="74">
        <v>77</v>
      </c>
      <c r="H45" s="74">
        <v>78</v>
      </c>
      <c r="I45" s="74">
        <v>77</v>
      </c>
      <c r="J45" s="33"/>
    </row>
    <row r="46" spans="1:10" s="4" customFormat="1" ht="38.25">
      <c r="A46" s="58" t="s">
        <v>150</v>
      </c>
      <c r="B46" s="76">
        <v>125</v>
      </c>
      <c r="C46" s="77"/>
      <c r="D46" s="78"/>
      <c r="E46" s="31">
        <f t="shared" si="0"/>
        <v>486.7</v>
      </c>
      <c r="F46" s="73"/>
      <c r="G46" s="74">
        <v>162.19999999999999</v>
      </c>
      <c r="H46" s="74">
        <v>162.19999999999999</v>
      </c>
      <c r="I46" s="74">
        <v>162.30000000000001</v>
      </c>
      <c r="J46" s="33"/>
    </row>
    <row r="47" spans="1:10" s="4" customFormat="1" ht="38.25">
      <c r="A47" s="58" t="s">
        <v>149</v>
      </c>
      <c r="B47" s="76">
        <v>126</v>
      </c>
      <c r="C47" s="77"/>
      <c r="D47" s="78"/>
      <c r="E47" s="31">
        <f t="shared" si="0"/>
        <v>439</v>
      </c>
      <c r="F47" s="73"/>
      <c r="G47" s="74">
        <v>146</v>
      </c>
      <c r="H47" s="74">
        <v>140</v>
      </c>
      <c r="I47" s="74">
        <v>153</v>
      </c>
      <c r="J47" s="33"/>
    </row>
    <row r="48" spans="1:10" s="4" customFormat="1">
      <c r="A48" s="58" t="s">
        <v>135</v>
      </c>
      <c r="B48" s="76">
        <v>127</v>
      </c>
      <c r="C48" s="77"/>
      <c r="D48" s="78"/>
      <c r="E48" s="31">
        <f t="shared" si="0"/>
        <v>0</v>
      </c>
      <c r="F48" s="73"/>
      <c r="G48" s="73"/>
      <c r="H48" s="73"/>
      <c r="I48" s="73"/>
      <c r="J48" s="33"/>
    </row>
    <row r="49" spans="1:10" s="4" customFormat="1" ht="38.25">
      <c r="A49" s="58" t="s">
        <v>145</v>
      </c>
      <c r="B49" s="76">
        <v>128</v>
      </c>
      <c r="C49" s="77"/>
      <c r="D49" s="78"/>
      <c r="E49" s="31">
        <f t="shared" si="0"/>
        <v>0</v>
      </c>
      <c r="F49" s="73"/>
      <c r="G49" s="73"/>
      <c r="H49" s="73"/>
      <c r="I49" s="73"/>
      <c r="J49" s="33"/>
    </row>
    <row r="50" spans="1:10" s="4" customFormat="1" ht="25.5">
      <c r="A50" s="58" t="s">
        <v>153</v>
      </c>
      <c r="B50" s="76">
        <v>128</v>
      </c>
      <c r="C50" s="77"/>
      <c r="D50" s="78"/>
      <c r="E50" s="31">
        <f t="shared" si="0"/>
        <v>0</v>
      </c>
      <c r="F50" s="73"/>
      <c r="G50" s="73"/>
      <c r="H50" s="73"/>
      <c r="I50" s="73"/>
      <c r="J50" s="33"/>
    </row>
    <row r="51" spans="1:10" s="4" customFormat="1">
      <c r="A51" s="38" t="s">
        <v>129</v>
      </c>
      <c r="B51" s="35"/>
      <c r="C51" s="29"/>
      <c r="D51" s="39"/>
      <c r="E51" s="31">
        <f t="shared" si="0"/>
        <v>0</v>
      </c>
      <c r="F51" s="32"/>
      <c r="G51" s="32"/>
      <c r="H51" s="40"/>
      <c r="I51" s="40"/>
      <c r="J51" s="33"/>
    </row>
    <row r="52" spans="1:10" s="5" customFormat="1">
      <c r="A52" s="41" t="s">
        <v>29</v>
      </c>
      <c r="B52" s="42">
        <v>132</v>
      </c>
      <c r="C52" s="43">
        <f>SUM(C53:C108)</f>
        <v>0</v>
      </c>
      <c r="D52" s="44">
        <f>D53+D57+D58+D78+D79+D80+D81+D86+D91+D96+D98+D103+D105+D108+D107</f>
        <v>-32287.899999999998</v>
      </c>
      <c r="E52" s="44">
        <f t="shared" si="0"/>
        <v>-36577</v>
      </c>
      <c r="F52" s="44">
        <f>F53+F57+F58+F78+F79+F80+F81+F86+F91+F96+F98+F103+F105+F108+F107</f>
        <v>-7988.4</v>
      </c>
      <c r="G52" s="44">
        <f>G53+G57+G58+G78+G79+G80+G81+G86+G91+G96+G98+G103+G105+G108+G107</f>
        <v>-8832.6999999999989</v>
      </c>
      <c r="H52" s="44">
        <f>H53+H57+H58+H78+H79+H80+H81+H86+H91+H96+H98+H103+H105+H108+H107</f>
        <v>-10373.400000000001</v>
      </c>
      <c r="I52" s="44">
        <f>I53+I57+I58+I78+I79+I80+I81+I86+I91+I96+I98+I103+I105+I108+I107</f>
        <v>-9382.5</v>
      </c>
      <c r="J52" s="45"/>
    </row>
    <row r="53" spans="1:10" s="1" customFormat="1">
      <c r="A53" s="22" t="s">
        <v>51</v>
      </c>
      <c r="B53" s="28">
        <v>140</v>
      </c>
      <c r="C53" s="29"/>
      <c r="D53" s="46">
        <f>SUM(D54:D56)</f>
        <v>-1407.5</v>
      </c>
      <c r="E53" s="46">
        <f t="shared" si="0"/>
        <v>-2386.4</v>
      </c>
      <c r="F53" s="40">
        <f>SUM(F54:F56)</f>
        <v>-178</v>
      </c>
      <c r="G53" s="40">
        <f t="shared" ref="G53:I53" si="2">SUM(G54:G56)</f>
        <v>-531.29999999999995</v>
      </c>
      <c r="H53" s="40">
        <f t="shared" si="2"/>
        <v>-1127.9000000000001</v>
      </c>
      <c r="I53" s="40">
        <f t="shared" si="2"/>
        <v>-549.20000000000005</v>
      </c>
      <c r="J53" s="33"/>
    </row>
    <row r="54" spans="1:10" s="1" customFormat="1">
      <c r="A54" s="24" t="s">
        <v>81</v>
      </c>
      <c r="B54" s="47">
        <v>141</v>
      </c>
      <c r="C54" s="29"/>
      <c r="D54" s="39">
        <v>-998</v>
      </c>
      <c r="E54" s="122">
        <f t="shared" si="0"/>
        <v>-1121.0999999999999</v>
      </c>
      <c r="F54" s="121">
        <v>-100</v>
      </c>
      <c r="G54" s="121">
        <v>-342.9</v>
      </c>
      <c r="H54" s="121">
        <v>-567.6</v>
      </c>
      <c r="I54" s="121">
        <v>-110.6</v>
      </c>
      <c r="J54" s="33"/>
    </row>
    <row r="55" spans="1:10" s="1" customFormat="1">
      <c r="A55" s="24" t="s">
        <v>125</v>
      </c>
      <c r="B55" s="47">
        <v>145</v>
      </c>
      <c r="C55" s="29"/>
      <c r="D55" s="39">
        <v>-155</v>
      </c>
      <c r="E55" s="120">
        <f t="shared" si="0"/>
        <v>-199</v>
      </c>
      <c r="F55" s="121">
        <v>-30</v>
      </c>
      <c r="G55" s="121">
        <v>-55</v>
      </c>
      <c r="H55" s="121">
        <v>-67</v>
      </c>
      <c r="I55" s="121">
        <v>-47</v>
      </c>
      <c r="J55" s="33"/>
    </row>
    <row r="56" spans="1:10" s="1" customFormat="1">
      <c r="A56" s="24" t="s">
        <v>113</v>
      </c>
      <c r="B56" s="47">
        <v>146</v>
      </c>
      <c r="C56" s="29"/>
      <c r="D56" s="39">
        <v>-254.5</v>
      </c>
      <c r="E56" s="120">
        <f t="shared" si="0"/>
        <v>-1066.3000000000002</v>
      </c>
      <c r="F56" s="121">
        <v>-48</v>
      </c>
      <c r="G56" s="121">
        <v>-133.4</v>
      </c>
      <c r="H56" s="121">
        <v>-493.3</v>
      </c>
      <c r="I56" s="121">
        <v>-391.6</v>
      </c>
      <c r="J56" s="33"/>
    </row>
    <row r="57" spans="1:10" s="1" customFormat="1">
      <c r="A57" s="22" t="s">
        <v>64</v>
      </c>
      <c r="B57" s="28">
        <v>150</v>
      </c>
      <c r="C57" s="29"/>
      <c r="D57" s="30">
        <v>-537.20000000000005</v>
      </c>
      <c r="E57" s="120">
        <f t="shared" si="0"/>
        <v>-730.2</v>
      </c>
      <c r="F57" s="120">
        <v>-138.30000000000001</v>
      </c>
      <c r="G57" s="120">
        <v>-133.30000000000001</v>
      </c>
      <c r="H57" s="120">
        <v>-230.3</v>
      </c>
      <c r="I57" s="120">
        <v>-228.3</v>
      </c>
      <c r="J57" s="33"/>
    </row>
    <row r="58" spans="1:10" s="1" customFormat="1">
      <c r="A58" s="22" t="s">
        <v>49</v>
      </c>
      <c r="B58" s="28">
        <v>160</v>
      </c>
      <c r="C58" s="29"/>
      <c r="D58" s="46">
        <f>SUM(D59:D77)</f>
        <v>-997.3</v>
      </c>
      <c r="E58" s="120">
        <f>SUM(F58:I58)</f>
        <v>-1575.9</v>
      </c>
      <c r="F58" s="120">
        <f>F59+F65+F68+F72+F77</f>
        <v>-289.10000000000002</v>
      </c>
      <c r="G58" s="120">
        <f t="shared" ref="G58:I58" si="3">G59+G65+G68+G72+G77</f>
        <v>-435</v>
      </c>
      <c r="H58" s="120">
        <f t="shared" si="3"/>
        <v>-412.4</v>
      </c>
      <c r="I58" s="120">
        <f t="shared" si="3"/>
        <v>-439.4</v>
      </c>
      <c r="J58" s="33"/>
    </row>
    <row r="59" spans="1:10" s="1" customFormat="1">
      <c r="A59" s="91" t="s">
        <v>128</v>
      </c>
      <c r="B59" s="47">
        <v>161</v>
      </c>
      <c r="C59" s="29"/>
      <c r="D59" s="39">
        <v>-420</v>
      </c>
      <c r="E59" s="31">
        <f>SUM(F59:I59)</f>
        <v>-730</v>
      </c>
      <c r="F59" s="40">
        <f>F60+F61+F62+F63+F64</f>
        <v>-146</v>
      </c>
      <c r="G59" s="40">
        <f t="shared" ref="G59:I59" si="4">G60+G61+G62+G63+G64</f>
        <v>-246.4</v>
      </c>
      <c r="H59" s="40">
        <f t="shared" si="4"/>
        <v>-164</v>
      </c>
      <c r="I59" s="40">
        <f t="shared" si="4"/>
        <v>-173.6</v>
      </c>
      <c r="J59" s="33"/>
    </row>
    <row r="60" spans="1:10" s="1" customFormat="1">
      <c r="A60" s="24" t="s">
        <v>172</v>
      </c>
      <c r="B60" s="47"/>
      <c r="C60" s="29"/>
      <c r="D60" s="39"/>
      <c r="E60" s="31">
        <f t="shared" ref="E60:E64" si="5">SUM(F60:I60)</f>
        <v>-420</v>
      </c>
      <c r="F60" s="40">
        <v>-146</v>
      </c>
      <c r="G60" s="40">
        <v>-147.4</v>
      </c>
      <c r="H60" s="32">
        <v>-64</v>
      </c>
      <c r="I60" s="32">
        <v>-62.6</v>
      </c>
      <c r="J60" s="33"/>
    </row>
    <row r="61" spans="1:10" s="1" customFormat="1">
      <c r="A61" s="24" t="s">
        <v>148</v>
      </c>
      <c r="B61" s="47"/>
      <c r="C61" s="29"/>
      <c r="D61" s="39"/>
      <c r="E61" s="31">
        <f t="shared" si="5"/>
        <v>-100</v>
      </c>
      <c r="F61" s="40"/>
      <c r="G61" s="40">
        <v>-30</v>
      </c>
      <c r="H61" s="32">
        <v>-30</v>
      </c>
      <c r="I61" s="32">
        <v>-40</v>
      </c>
      <c r="J61" s="33"/>
    </row>
    <row r="62" spans="1:10" s="1" customFormat="1">
      <c r="A62" s="24" t="s">
        <v>169</v>
      </c>
      <c r="B62" s="47"/>
      <c r="C62" s="29"/>
      <c r="D62" s="39"/>
      <c r="E62" s="31">
        <f t="shared" si="5"/>
        <v>-110</v>
      </c>
      <c r="F62" s="40"/>
      <c r="G62" s="40">
        <v>-36</v>
      </c>
      <c r="H62" s="32">
        <v>-37</v>
      </c>
      <c r="I62" s="32">
        <v>-37</v>
      </c>
      <c r="J62" s="33"/>
    </row>
    <row r="63" spans="1:10" s="1" customFormat="1">
      <c r="A63" s="24" t="s">
        <v>170</v>
      </c>
      <c r="B63" s="47"/>
      <c r="C63" s="29"/>
      <c r="D63" s="39"/>
      <c r="E63" s="31">
        <f t="shared" si="5"/>
        <v>-40</v>
      </c>
      <c r="F63" s="40"/>
      <c r="G63" s="40">
        <v>-13</v>
      </c>
      <c r="H63" s="32">
        <v>-13</v>
      </c>
      <c r="I63" s="32">
        <v>-14</v>
      </c>
      <c r="J63" s="33"/>
    </row>
    <row r="64" spans="1:10" s="1" customFormat="1">
      <c r="A64" s="24" t="s">
        <v>147</v>
      </c>
      <c r="B64" s="47"/>
      <c r="C64" s="29"/>
      <c r="D64" s="39"/>
      <c r="E64" s="31">
        <f t="shared" si="5"/>
        <v>-60</v>
      </c>
      <c r="F64" s="40"/>
      <c r="G64" s="40">
        <v>-20</v>
      </c>
      <c r="H64" s="32">
        <v>-20</v>
      </c>
      <c r="I64" s="32">
        <v>-20</v>
      </c>
      <c r="J64" s="33"/>
    </row>
    <row r="65" spans="1:11" s="1" customFormat="1">
      <c r="A65" s="38" t="s">
        <v>48</v>
      </c>
      <c r="B65" s="47">
        <v>162</v>
      </c>
      <c r="C65" s="29"/>
      <c r="D65" s="39">
        <v>-48.2</v>
      </c>
      <c r="E65" s="31">
        <f>SUM(F65:I65)</f>
        <v>-54.8</v>
      </c>
      <c r="F65" s="32"/>
      <c r="G65" s="32">
        <f>G66+G67</f>
        <v>-14.8</v>
      </c>
      <c r="H65" s="32">
        <f t="shared" ref="H65:I65" si="6">H66+H67</f>
        <v>-21.2</v>
      </c>
      <c r="I65" s="32">
        <f t="shared" si="6"/>
        <v>-18.8</v>
      </c>
      <c r="J65" s="33"/>
    </row>
    <row r="66" spans="1:11" s="1" customFormat="1">
      <c r="A66" s="24" t="s">
        <v>172</v>
      </c>
      <c r="B66" s="47"/>
      <c r="C66" s="29"/>
      <c r="D66" s="39"/>
      <c r="E66" s="31">
        <f>SUM(F66:I66)</f>
        <v>-48.2</v>
      </c>
      <c r="F66" s="32"/>
      <c r="G66" s="32">
        <v>-12.6</v>
      </c>
      <c r="H66" s="32">
        <v>-19</v>
      </c>
      <c r="I66" s="32">
        <v>-16.600000000000001</v>
      </c>
      <c r="J66" s="33"/>
    </row>
    <row r="67" spans="1:11" s="1" customFormat="1">
      <c r="A67" s="24" t="s">
        <v>170</v>
      </c>
      <c r="B67" s="47"/>
      <c r="C67" s="29"/>
      <c r="D67" s="39"/>
      <c r="E67" s="31">
        <f t="shared" ref="E67" si="7">SUM(F67:I67)</f>
        <v>-6.6000000000000005</v>
      </c>
      <c r="F67" s="32"/>
      <c r="G67" s="32">
        <v>-2.2000000000000002</v>
      </c>
      <c r="H67" s="32">
        <v>-2.2000000000000002</v>
      </c>
      <c r="I67" s="32">
        <v>-2.2000000000000002</v>
      </c>
      <c r="J67" s="33"/>
    </row>
    <row r="68" spans="1:11" s="1" customFormat="1">
      <c r="A68" s="38" t="s">
        <v>116</v>
      </c>
      <c r="B68" s="47">
        <v>163</v>
      </c>
      <c r="C68" s="29"/>
      <c r="D68" s="39">
        <v>-164.1</v>
      </c>
      <c r="E68" s="31">
        <f t="shared" si="0"/>
        <v>-438</v>
      </c>
      <c r="F68" s="32">
        <f>F69+F70+F71</f>
        <v>-65.099999999999994</v>
      </c>
      <c r="G68" s="32">
        <f t="shared" ref="G68:I68" si="8">G69+G70+G71</f>
        <v>-116.7</v>
      </c>
      <c r="H68" s="32">
        <f t="shared" si="8"/>
        <v>-108.2</v>
      </c>
      <c r="I68" s="32">
        <f t="shared" si="8"/>
        <v>-148</v>
      </c>
      <c r="J68" s="33"/>
    </row>
    <row r="69" spans="1:11" s="1" customFormat="1">
      <c r="A69" s="24" t="s">
        <v>172</v>
      </c>
      <c r="B69" s="47"/>
      <c r="C69" s="29"/>
      <c r="D69" s="39"/>
      <c r="E69" s="31">
        <f t="shared" si="0"/>
        <v>-198</v>
      </c>
      <c r="F69" s="32">
        <v>-65.099999999999994</v>
      </c>
      <c r="G69" s="32">
        <v>-40.700000000000003</v>
      </c>
      <c r="H69" s="32">
        <v>-26.2</v>
      </c>
      <c r="I69" s="32">
        <v>-66</v>
      </c>
      <c r="J69" s="33"/>
    </row>
    <row r="70" spans="1:11" s="1" customFormat="1">
      <c r="A70" s="24" t="s">
        <v>148</v>
      </c>
      <c r="B70" s="47"/>
      <c r="C70" s="29"/>
      <c r="D70" s="39"/>
      <c r="E70" s="31">
        <f t="shared" si="0"/>
        <v>-140</v>
      </c>
      <c r="F70" s="32"/>
      <c r="G70" s="32">
        <v>-46</v>
      </c>
      <c r="H70" s="32">
        <v>-47</v>
      </c>
      <c r="I70" s="32">
        <v>-47</v>
      </c>
      <c r="J70" s="33"/>
    </row>
    <row r="71" spans="1:11" s="1" customFormat="1">
      <c r="A71" s="24" t="s">
        <v>147</v>
      </c>
      <c r="B71" s="47"/>
      <c r="C71" s="29"/>
      <c r="D71" s="39"/>
      <c r="E71" s="31">
        <f t="shared" si="0"/>
        <v>-100</v>
      </c>
      <c r="F71" s="32"/>
      <c r="G71" s="32">
        <v>-30</v>
      </c>
      <c r="H71" s="32">
        <v>-35</v>
      </c>
      <c r="I71" s="32">
        <v>-35</v>
      </c>
      <c r="J71" s="33"/>
    </row>
    <row r="72" spans="1:11" s="1" customFormat="1">
      <c r="A72" s="38" t="s">
        <v>50</v>
      </c>
      <c r="B72" s="47">
        <v>164</v>
      </c>
      <c r="C72" s="29"/>
      <c r="D72" s="39">
        <v>-50</v>
      </c>
      <c r="E72" s="31">
        <f t="shared" si="0"/>
        <v>-72</v>
      </c>
      <c r="F72" s="32">
        <f>F73+F74+F75+F76</f>
        <v>-9</v>
      </c>
      <c r="G72" s="32">
        <f t="shared" ref="G72:I72" si="9">G73+G74+G75+G76</f>
        <v>0</v>
      </c>
      <c r="H72" s="32">
        <f t="shared" si="9"/>
        <v>-49</v>
      </c>
      <c r="I72" s="32">
        <f t="shared" si="9"/>
        <v>-14</v>
      </c>
      <c r="J72" s="33"/>
    </row>
    <row r="73" spans="1:11" s="1" customFormat="1">
      <c r="A73" s="24" t="s">
        <v>148</v>
      </c>
      <c r="B73" s="47"/>
      <c r="C73" s="29"/>
      <c r="D73" s="39"/>
      <c r="E73" s="31">
        <f t="shared" si="0"/>
        <v>-19</v>
      </c>
      <c r="F73" s="32">
        <v>-9</v>
      </c>
      <c r="G73" s="32"/>
      <c r="H73" s="32">
        <v>-8</v>
      </c>
      <c r="I73" s="32">
        <v>-2</v>
      </c>
      <c r="J73" s="33"/>
    </row>
    <row r="74" spans="1:11" s="1" customFormat="1">
      <c r="A74" s="24" t="s">
        <v>169</v>
      </c>
      <c r="B74" s="47"/>
      <c r="C74" s="29"/>
      <c r="D74" s="39"/>
      <c r="E74" s="31">
        <f t="shared" si="0"/>
        <v>-20</v>
      </c>
      <c r="F74" s="32"/>
      <c r="G74" s="32"/>
      <c r="H74" s="32">
        <v>-15</v>
      </c>
      <c r="I74" s="32">
        <v>-5</v>
      </c>
      <c r="J74" s="33"/>
    </row>
    <row r="75" spans="1:11" s="1" customFormat="1">
      <c r="A75" s="24" t="s">
        <v>170</v>
      </c>
      <c r="B75" s="47"/>
      <c r="C75" s="29"/>
      <c r="D75" s="39"/>
      <c r="E75" s="31">
        <f t="shared" si="0"/>
        <v>-11</v>
      </c>
      <c r="F75" s="32"/>
      <c r="G75" s="32"/>
      <c r="H75" s="32">
        <v>-11</v>
      </c>
      <c r="I75" s="32"/>
      <c r="J75" s="33"/>
    </row>
    <row r="76" spans="1:11" s="1" customFormat="1">
      <c r="A76" s="24" t="s">
        <v>147</v>
      </c>
      <c r="B76" s="47"/>
      <c r="C76" s="29"/>
      <c r="D76" s="39"/>
      <c r="E76" s="31">
        <f t="shared" si="0"/>
        <v>-22</v>
      </c>
      <c r="F76" s="32"/>
      <c r="G76" s="32"/>
      <c r="H76" s="32">
        <v>-15</v>
      </c>
      <c r="I76" s="32">
        <v>-7</v>
      </c>
      <c r="J76" s="33"/>
    </row>
    <row r="77" spans="1:11" s="1" customFormat="1">
      <c r="A77" s="22" t="s">
        <v>97</v>
      </c>
      <c r="B77" s="47">
        <v>165</v>
      </c>
      <c r="C77" s="29"/>
      <c r="D77" s="39">
        <v>-315</v>
      </c>
      <c r="E77" s="31">
        <f t="shared" si="0"/>
        <v>-281.10000000000002</v>
      </c>
      <c r="F77" s="40">
        <v>-69</v>
      </c>
      <c r="G77" s="40">
        <v>-57.1</v>
      </c>
      <c r="H77" s="32">
        <v>-70</v>
      </c>
      <c r="I77" s="32">
        <v>-85</v>
      </c>
      <c r="J77" s="33"/>
    </row>
    <row r="78" spans="1:11" s="1" customFormat="1">
      <c r="A78" s="22" t="s">
        <v>102</v>
      </c>
      <c r="B78" s="28">
        <v>166</v>
      </c>
      <c r="C78" s="29"/>
      <c r="D78" s="39">
        <v>-6</v>
      </c>
      <c r="E78" s="120">
        <f t="shared" si="0"/>
        <v>-6</v>
      </c>
      <c r="F78" s="120">
        <v>0</v>
      </c>
      <c r="G78" s="121">
        <v>-3</v>
      </c>
      <c r="H78" s="121">
        <v>-3</v>
      </c>
      <c r="I78" s="121"/>
      <c r="J78" s="33"/>
    </row>
    <row r="79" spans="1:11" s="7" customFormat="1">
      <c r="A79" s="25" t="s">
        <v>3</v>
      </c>
      <c r="B79" s="48">
        <v>170</v>
      </c>
      <c r="C79" s="34"/>
      <c r="D79" s="30">
        <v>-24399.599999999999</v>
      </c>
      <c r="E79" s="120">
        <f t="shared" si="0"/>
        <v>-25716.100000000002</v>
      </c>
      <c r="F79" s="120">
        <v>-6034.6</v>
      </c>
      <c r="G79" s="120">
        <v>-6133.2</v>
      </c>
      <c r="H79" s="120">
        <v>-7000.1</v>
      </c>
      <c r="I79" s="120">
        <v>-6548.2</v>
      </c>
      <c r="J79" s="49"/>
      <c r="K79" s="6"/>
    </row>
    <row r="80" spans="1:11" s="7" customFormat="1">
      <c r="A80" s="25" t="s">
        <v>165</v>
      </c>
      <c r="B80" s="48">
        <v>180</v>
      </c>
      <c r="C80" s="34"/>
      <c r="D80" s="30">
        <v>-4790.3</v>
      </c>
      <c r="E80" s="120">
        <f t="shared" si="0"/>
        <v>-5299.4</v>
      </c>
      <c r="F80" s="120">
        <v>-1343.4</v>
      </c>
      <c r="G80" s="120">
        <v>-1324.9</v>
      </c>
      <c r="H80" s="120">
        <v>-1297.7</v>
      </c>
      <c r="I80" s="120">
        <v>-1333.4</v>
      </c>
      <c r="J80" s="49"/>
    </row>
    <row r="81" spans="1:10" s="1" customFormat="1" ht="25.5">
      <c r="A81" s="95" t="s">
        <v>162</v>
      </c>
      <c r="B81" s="68">
        <v>190</v>
      </c>
      <c r="C81" s="71"/>
      <c r="D81" s="72"/>
      <c r="E81" s="118">
        <f t="shared" si="0"/>
        <v>-216</v>
      </c>
      <c r="F81" s="118"/>
      <c r="G81" s="117">
        <f>G82+G83+G84+G85</f>
        <v>-72</v>
      </c>
      <c r="H81" s="117">
        <f t="shared" ref="H81:I81" si="10">H82+H83+H84+H85</f>
        <v>-72</v>
      </c>
      <c r="I81" s="117">
        <f t="shared" si="10"/>
        <v>-72</v>
      </c>
      <c r="J81" s="33" t="s">
        <v>103</v>
      </c>
    </row>
    <row r="82" spans="1:10" s="1" customFormat="1">
      <c r="A82" s="58" t="s">
        <v>168</v>
      </c>
      <c r="B82" s="68"/>
      <c r="C82" s="71"/>
      <c r="D82" s="72"/>
      <c r="E82" s="118">
        <f t="shared" si="0"/>
        <v>-80</v>
      </c>
      <c r="F82" s="118"/>
      <c r="G82" s="117">
        <v>-28</v>
      </c>
      <c r="H82" s="117">
        <v>-26</v>
      </c>
      <c r="I82" s="117">
        <v>-26</v>
      </c>
      <c r="J82" s="33"/>
    </row>
    <row r="83" spans="1:10" s="1" customFormat="1">
      <c r="A83" s="58" t="s">
        <v>169</v>
      </c>
      <c r="B83" s="68"/>
      <c r="C83" s="71"/>
      <c r="D83" s="72"/>
      <c r="E83" s="118">
        <f t="shared" si="0"/>
        <v>-42</v>
      </c>
      <c r="F83" s="118"/>
      <c r="G83" s="117">
        <v>-13</v>
      </c>
      <c r="H83" s="117">
        <v>-13</v>
      </c>
      <c r="I83" s="117">
        <v>-16</v>
      </c>
      <c r="J83" s="33"/>
    </row>
    <row r="84" spans="1:10" s="1" customFormat="1">
      <c r="A84" s="58" t="s">
        <v>170</v>
      </c>
      <c r="B84" s="68"/>
      <c r="C84" s="71"/>
      <c r="D84" s="72"/>
      <c r="E84" s="118">
        <f t="shared" si="0"/>
        <v>-52</v>
      </c>
      <c r="F84" s="118"/>
      <c r="G84" s="117">
        <v>-16</v>
      </c>
      <c r="H84" s="117">
        <v>-19</v>
      </c>
      <c r="I84" s="117">
        <v>-17</v>
      </c>
      <c r="J84" s="33"/>
    </row>
    <row r="85" spans="1:10" s="1" customFormat="1">
      <c r="A85" s="58" t="s">
        <v>147</v>
      </c>
      <c r="B85" s="68"/>
      <c r="C85" s="71"/>
      <c r="D85" s="72"/>
      <c r="E85" s="118">
        <f t="shared" si="0"/>
        <v>-42</v>
      </c>
      <c r="F85" s="118"/>
      <c r="G85" s="117">
        <v>-15</v>
      </c>
      <c r="H85" s="117">
        <v>-14</v>
      </c>
      <c r="I85" s="117">
        <v>-13</v>
      </c>
      <c r="J85" s="33"/>
    </row>
    <row r="86" spans="1:10" s="1" customFormat="1" ht="25.5">
      <c r="A86" s="95" t="s">
        <v>163</v>
      </c>
      <c r="B86" s="68">
        <v>191</v>
      </c>
      <c r="C86" s="71"/>
      <c r="D86" s="72"/>
      <c r="E86" s="120">
        <f t="shared" si="0"/>
        <v>-142</v>
      </c>
      <c r="F86" s="118">
        <v>0</v>
      </c>
      <c r="G86" s="118">
        <f>G87+G88+G89+G90</f>
        <v>-47</v>
      </c>
      <c r="H86" s="118">
        <f t="shared" ref="H86:I86" si="11">H87+H88+H89+H90</f>
        <v>-47</v>
      </c>
      <c r="I86" s="118">
        <f t="shared" si="11"/>
        <v>-48</v>
      </c>
      <c r="J86" s="33"/>
    </row>
    <row r="87" spans="1:10" s="1" customFormat="1">
      <c r="A87" s="23" t="s">
        <v>168</v>
      </c>
      <c r="B87" s="68"/>
      <c r="C87" s="71"/>
      <c r="D87" s="72"/>
      <c r="E87" s="120">
        <f t="shared" si="0"/>
        <v>-25</v>
      </c>
      <c r="F87" s="118"/>
      <c r="G87" s="117">
        <v>-9</v>
      </c>
      <c r="H87" s="117">
        <v>-8</v>
      </c>
      <c r="I87" s="117">
        <v>-8</v>
      </c>
      <c r="J87" s="33"/>
    </row>
    <row r="88" spans="1:10" s="1" customFormat="1">
      <c r="A88" s="23" t="s">
        <v>169</v>
      </c>
      <c r="B88" s="68"/>
      <c r="C88" s="71"/>
      <c r="D88" s="72"/>
      <c r="E88" s="120">
        <f t="shared" si="0"/>
        <v>-45</v>
      </c>
      <c r="F88" s="118"/>
      <c r="G88" s="117">
        <v>-15</v>
      </c>
      <c r="H88" s="117">
        <v>-15</v>
      </c>
      <c r="I88" s="117">
        <v>-15</v>
      </c>
      <c r="J88" s="33"/>
    </row>
    <row r="89" spans="1:10" s="1" customFormat="1">
      <c r="A89" s="23" t="s">
        <v>170</v>
      </c>
      <c r="B89" s="68"/>
      <c r="C89" s="71"/>
      <c r="D89" s="72"/>
      <c r="E89" s="120">
        <f t="shared" si="0"/>
        <v>-32</v>
      </c>
      <c r="F89" s="118"/>
      <c r="G89" s="117">
        <v>-10</v>
      </c>
      <c r="H89" s="117">
        <v>-11</v>
      </c>
      <c r="I89" s="117">
        <v>-11</v>
      </c>
      <c r="J89" s="33"/>
    </row>
    <row r="90" spans="1:10" s="1" customFormat="1">
      <c r="A90" s="23" t="s">
        <v>147</v>
      </c>
      <c r="B90" s="68"/>
      <c r="C90" s="71"/>
      <c r="D90" s="72"/>
      <c r="E90" s="120">
        <f t="shared" si="0"/>
        <v>-40</v>
      </c>
      <c r="F90" s="118"/>
      <c r="G90" s="117">
        <v>-13</v>
      </c>
      <c r="H90" s="117">
        <v>-13</v>
      </c>
      <c r="I90" s="117">
        <v>-14</v>
      </c>
      <c r="J90" s="33"/>
    </row>
    <row r="91" spans="1:10" s="1" customFormat="1" ht="25.5">
      <c r="A91" s="95" t="s">
        <v>164</v>
      </c>
      <c r="B91" s="68">
        <v>192</v>
      </c>
      <c r="C91" s="71"/>
      <c r="D91" s="72"/>
      <c r="E91" s="120">
        <f t="shared" si="0"/>
        <v>-175</v>
      </c>
      <c r="F91" s="118"/>
      <c r="G91" s="117">
        <f>G92+G93+G94+G95</f>
        <v>-58</v>
      </c>
      <c r="H91" s="117">
        <f t="shared" ref="H91:I91" si="12">H92+H93+H94+H95</f>
        <v>-58</v>
      </c>
      <c r="I91" s="117">
        <f t="shared" si="12"/>
        <v>-59</v>
      </c>
      <c r="J91" s="33"/>
    </row>
    <row r="92" spans="1:10" s="1" customFormat="1">
      <c r="A92" s="23" t="s">
        <v>168</v>
      </c>
      <c r="B92" s="68"/>
      <c r="C92" s="71"/>
      <c r="D92" s="72"/>
      <c r="E92" s="120">
        <f t="shared" si="0"/>
        <v>-75</v>
      </c>
      <c r="F92" s="118"/>
      <c r="G92" s="117">
        <v>-25</v>
      </c>
      <c r="H92" s="117">
        <v>-25</v>
      </c>
      <c r="I92" s="117">
        <v>-25</v>
      </c>
      <c r="J92" s="33"/>
    </row>
    <row r="93" spans="1:10" s="1" customFormat="1">
      <c r="A93" s="23" t="s">
        <v>169</v>
      </c>
      <c r="B93" s="68"/>
      <c r="C93" s="71"/>
      <c r="D93" s="72"/>
      <c r="E93" s="120">
        <f t="shared" si="0"/>
        <v>-15</v>
      </c>
      <c r="F93" s="118"/>
      <c r="G93" s="117">
        <v>-5</v>
      </c>
      <c r="H93" s="117">
        <v>-5</v>
      </c>
      <c r="I93" s="117">
        <v>-5</v>
      </c>
      <c r="J93" s="33"/>
    </row>
    <row r="94" spans="1:10" s="1" customFormat="1">
      <c r="A94" s="23" t="s">
        <v>170</v>
      </c>
      <c r="B94" s="68"/>
      <c r="C94" s="71"/>
      <c r="D94" s="72"/>
      <c r="E94" s="120">
        <f t="shared" si="0"/>
        <v>-15</v>
      </c>
      <c r="F94" s="118"/>
      <c r="G94" s="117">
        <v>-5</v>
      </c>
      <c r="H94" s="117">
        <v>-5</v>
      </c>
      <c r="I94" s="117">
        <v>-5</v>
      </c>
      <c r="J94" s="33"/>
    </row>
    <row r="95" spans="1:10" s="1" customFormat="1">
      <c r="A95" s="23" t="s">
        <v>147</v>
      </c>
      <c r="B95" s="68"/>
      <c r="C95" s="71"/>
      <c r="D95" s="72"/>
      <c r="E95" s="120">
        <f t="shared" si="0"/>
        <v>-70</v>
      </c>
      <c r="F95" s="118"/>
      <c r="G95" s="117">
        <v>-23</v>
      </c>
      <c r="H95" s="117">
        <v>-23</v>
      </c>
      <c r="I95" s="117">
        <v>-24</v>
      </c>
      <c r="J95" s="33"/>
    </row>
    <row r="96" spans="1:10" s="1" customFormat="1">
      <c r="A96" s="58" t="s">
        <v>127</v>
      </c>
      <c r="B96" s="68">
        <v>193</v>
      </c>
      <c r="C96" s="71"/>
      <c r="D96" s="72">
        <v>-60</v>
      </c>
      <c r="E96" s="118">
        <f t="shared" si="0"/>
        <v>-60</v>
      </c>
      <c r="F96" s="118"/>
      <c r="G96" s="118">
        <v>-20</v>
      </c>
      <c r="H96" s="117">
        <v>-15</v>
      </c>
      <c r="I96" s="117">
        <f>-25</f>
        <v>-25</v>
      </c>
      <c r="J96" s="33"/>
    </row>
    <row r="97" spans="1:10" s="1" customFormat="1">
      <c r="A97" s="58"/>
      <c r="B97" s="68">
        <v>194</v>
      </c>
      <c r="C97" s="71"/>
      <c r="D97" s="72"/>
      <c r="E97" s="119">
        <f t="shared" si="0"/>
        <v>0</v>
      </c>
      <c r="F97" s="119"/>
      <c r="G97" s="119"/>
      <c r="H97" s="119"/>
      <c r="I97" s="119"/>
      <c r="J97" s="33"/>
    </row>
    <row r="98" spans="1:10" s="1" customFormat="1" ht="25.5">
      <c r="A98" s="95" t="s">
        <v>171</v>
      </c>
      <c r="B98" s="68">
        <v>195</v>
      </c>
      <c r="C98" s="71"/>
      <c r="D98" s="72"/>
      <c r="E98" s="118">
        <f t="shared" si="0"/>
        <v>-200</v>
      </c>
      <c r="F98" s="119">
        <f>F101</f>
        <v>0</v>
      </c>
      <c r="G98" s="118">
        <f>G99+G100</f>
        <v>-65</v>
      </c>
      <c r="H98" s="118">
        <f t="shared" ref="H98:I98" si="13">H99+H100</f>
        <v>-70</v>
      </c>
      <c r="I98" s="118">
        <f t="shared" si="13"/>
        <v>-65</v>
      </c>
      <c r="J98" s="33"/>
    </row>
    <row r="99" spans="1:10" s="1" customFormat="1">
      <c r="A99" s="23" t="s">
        <v>170</v>
      </c>
      <c r="B99" s="68"/>
      <c r="C99" s="71"/>
      <c r="D99" s="72"/>
      <c r="E99" s="118">
        <f t="shared" si="0"/>
        <v>-50</v>
      </c>
      <c r="F99" s="119"/>
      <c r="G99" s="118">
        <v>-15</v>
      </c>
      <c r="H99" s="118">
        <v>-20</v>
      </c>
      <c r="I99" s="118">
        <v>-15</v>
      </c>
      <c r="J99" s="33"/>
    </row>
    <row r="100" spans="1:10" s="1" customFormat="1">
      <c r="A100" s="23" t="s">
        <v>147</v>
      </c>
      <c r="B100" s="68"/>
      <c r="C100" s="71"/>
      <c r="D100" s="72"/>
      <c r="E100" s="118">
        <f t="shared" si="0"/>
        <v>-150</v>
      </c>
      <c r="F100" s="119"/>
      <c r="G100" s="118">
        <v>-50</v>
      </c>
      <c r="H100" s="118">
        <v>-50</v>
      </c>
      <c r="I100" s="118">
        <v>-50</v>
      </c>
      <c r="J100" s="33"/>
    </row>
    <row r="101" spans="1:10" s="1" customFormat="1">
      <c r="A101" s="23"/>
      <c r="B101" s="81">
        <v>196</v>
      </c>
      <c r="C101" s="83"/>
      <c r="D101" s="84"/>
      <c r="E101" s="119">
        <f t="shared" si="0"/>
        <v>0</v>
      </c>
      <c r="F101" s="119"/>
      <c r="G101" s="119"/>
      <c r="H101" s="119"/>
      <c r="I101" s="119"/>
      <c r="J101" s="33"/>
    </row>
    <row r="102" spans="1:10" s="1" customFormat="1">
      <c r="A102" s="58"/>
      <c r="B102" s="68">
        <v>197</v>
      </c>
      <c r="C102" s="83"/>
      <c r="D102" s="84"/>
      <c r="E102" s="73">
        <f t="shared" si="0"/>
        <v>0</v>
      </c>
      <c r="F102" s="75"/>
      <c r="G102" s="73"/>
      <c r="H102" s="73"/>
      <c r="I102" s="73"/>
      <c r="J102" s="33"/>
    </row>
    <row r="103" spans="1:10" s="1" customFormat="1" ht="25.5">
      <c r="A103" s="58" t="s">
        <v>157</v>
      </c>
      <c r="B103" s="76">
        <v>198</v>
      </c>
      <c r="C103" s="77"/>
      <c r="D103" s="78">
        <v>-50</v>
      </c>
      <c r="E103" s="73">
        <f t="shared" si="0"/>
        <v>0</v>
      </c>
      <c r="F103" s="74"/>
      <c r="G103" s="73"/>
      <c r="H103" s="73"/>
      <c r="I103" s="73"/>
      <c r="J103" s="33"/>
    </row>
    <row r="104" spans="1:10" s="1" customFormat="1" ht="14.25" customHeight="1">
      <c r="A104" s="58"/>
      <c r="B104" s="76">
        <v>199</v>
      </c>
      <c r="C104" s="77"/>
      <c r="D104" s="78"/>
      <c r="E104" s="73">
        <f t="shared" si="0"/>
        <v>0</v>
      </c>
      <c r="F104" s="74"/>
      <c r="G104" s="73"/>
      <c r="H104" s="73"/>
      <c r="I104" s="73"/>
      <c r="J104" s="33"/>
    </row>
    <row r="105" spans="1:10" s="1" customFormat="1" ht="25.5">
      <c r="A105" s="58" t="s">
        <v>140</v>
      </c>
      <c r="B105" s="68">
        <v>200</v>
      </c>
      <c r="C105" s="71"/>
      <c r="D105" s="72">
        <v>-20</v>
      </c>
      <c r="E105" s="118">
        <f t="shared" si="0"/>
        <v>-30</v>
      </c>
      <c r="F105" s="79">
        <v>0</v>
      </c>
      <c r="G105" s="118">
        <v>-5</v>
      </c>
      <c r="H105" s="118">
        <v>-10</v>
      </c>
      <c r="I105" s="118">
        <v>-15</v>
      </c>
      <c r="J105" s="33" t="s">
        <v>101</v>
      </c>
    </row>
    <row r="106" spans="1:10" s="1" customFormat="1">
      <c r="A106" s="58"/>
      <c r="B106" s="68">
        <v>201</v>
      </c>
      <c r="C106" s="71"/>
      <c r="D106" s="72"/>
      <c r="E106" s="118"/>
      <c r="F106" s="79"/>
      <c r="G106" s="118"/>
      <c r="H106" s="118"/>
      <c r="I106" s="118"/>
      <c r="J106" s="33"/>
    </row>
    <row r="107" spans="1:10" s="1" customFormat="1">
      <c r="A107" s="58" t="s">
        <v>65</v>
      </c>
      <c r="B107" s="68">
        <v>210</v>
      </c>
      <c r="C107" s="71"/>
      <c r="D107" s="72"/>
      <c r="E107" s="117">
        <f t="shared" si="0"/>
        <v>0</v>
      </c>
      <c r="F107" s="80"/>
      <c r="G107" s="117"/>
      <c r="H107" s="118"/>
      <c r="I107" s="118">
        <v>0</v>
      </c>
      <c r="J107" s="33"/>
    </row>
    <row r="108" spans="1:10" s="1" customFormat="1">
      <c r="A108" s="58" t="s">
        <v>42</v>
      </c>
      <c r="B108" s="68">
        <v>220</v>
      </c>
      <c r="C108" s="71"/>
      <c r="D108" s="79">
        <v>-20</v>
      </c>
      <c r="E108" s="118">
        <f t="shared" si="0"/>
        <v>-40</v>
      </c>
      <c r="F108" s="118">
        <f>F109</f>
        <v>-5</v>
      </c>
      <c r="G108" s="118">
        <f t="shared" ref="G108:I108" si="14">G109</f>
        <v>-5</v>
      </c>
      <c r="H108" s="118">
        <f t="shared" si="14"/>
        <v>-30</v>
      </c>
      <c r="I108" s="118">
        <f t="shared" si="14"/>
        <v>0</v>
      </c>
      <c r="J108" s="33" t="s">
        <v>54</v>
      </c>
    </row>
    <row r="109" spans="1:10" s="1" customFormat="1">
      <c r="A109" s="23" t="s">
        <v>132</v>
      </c>
      <c r="B109" s="81">
        <v>221</v>
      </c>
      <c r="C109" s="71"/>
      <c r="D109" s="72">
        <v>-47.8</v>
      </c>
      <c r="E109" s="82">
        <f t="shared" si="0"/>
        <v>-40</v>
      </c>
      <c r="F109" s="119">
        <v>-5</v>
      </c>
      <c r="G109" s="119">
        <v>-5</v>
      </c>
      <c r="H109" s="119">
        <v>-30</v>
      </c>
      <c r="I109" s="119">
        <v>0</v>
      </c>
      <c r="J109" s="33"/>
    </row>
    <row r="110" spans="1:10" s="5" customFormat="1">
      <c r="A110" s="85" t="s">
        <v>36</v>
      </c>
      <c r="B110" s="86">
        <v>230</v>
      </c>
      <c r="C110" s="87">
        <f>SUM(C111:C127,C128)</f>
        <v>0</v>
      </c>
      <c r="D110" s="126">
        <f>SUM(D111:D127,D128)</f>
        <v>-10085.399999999998</v>
      </c>
      <c r="E110" s="88">
        <f t="shared" si="0"/>
        <v>-11560.3</v>
      </c>
      <c r="F110" s="88">
        <f>SUM(F111:F127,F128)</f>
        <v>-2003</v>
      </c>
      <c r="G110" s="88">
        <f>SUM(G111:G127,G128)</f>
        <v>-2746.5</v>
      </c>
      <c r="H110" s="88">
        <f>SUM(H111:H127,H128)</f>
        <v>-3433.7999999999997</v>
      </c>
      <c r="I110" s="88">
        <f>SUM(I111:I127,I128)</f>
        <v>-3377</v>
      </c>
      <c r="J110" s="45"/>
    </row>
    <row r="111" spans="1:10">
      <c r="A111" s="23" t="s">
        <v>95</v>
      </c>
      <c r="B111" s="89">
        <v>231</v>
      </c>
      <c r="C111" s="71"/>
      <c r="D111" s="72">
        <v>-51.1</v>
      </c>
      <c r="E111" s="118">
        <f t="shared" si="0"/>
        <v>-51.1</v>
      </c>
      <c r="F111" s="118">
        <v>-3.5</v>
      </c>
      <c r="G111" s="118">
        <v>-22.3</v>
      </c>
      <c r="H111" s="118">
        <v>-12.9</v>
      </c>
      <c r="I111" s="118">
        <v>-12.4</v>
      </c>
      <c r="J111" s="33"/>
    </row>
    <row r="112" spans="1:10" ht="22.5" customHeight="1">
      <c r="A112" s="23" t="s">
        <v>121</v>
      </c>
      <c r="B112" s="89">
        <v>232</v>
      </c>
      <c r="C112" s="71"/>
      <c r="D112" s="72">
        <v>-409.4</v>
      </c>
      <c r="E112" s="118">
        <f t="shared" si="0"/>
        <v>-731.4</v>
      </c>
      <c r="F112" s="117">
        <v>-146.4</v>
      </c>
      <c r="G112" s="117">
        <v>-172</v>
      </c>
      <c r="H112" s="117">
        <v>-199</v>
      </c>
      <c r="I112" s="117">
        <v>-214</v>
      </c>
      <c r="J112" s="33" t="s">
        <v>94</v>
      </c>
    </row>
    <row r="113" spans="1:12" ht="12" customHeight="1">
      <c r="A113" s="23" t="s">
        <v>90</v>
      </c>
      <c r="B113" s="89">
        <v>233</v>
      </c>
      <c r="C113" s="71"/>
      <c r="D113" s="72">
        <v>-187.5</v>
      </c>
      <c r="E113" s="118">
        <f t="shared" si="0"/>
        <v>-359.5</v>
      </c>
      <c r="F113" s="117">
        <v>-56.5</v>
      </c>
      <c r="G113" s="117">
        <v>-47</v>
      </c>
      <c r="H113" s="117">
        <v>-57</v>
      </c>
      <c r="I113" s="117">
        <v>-199</v>
      </c>
      <c r="J113" s="33" t="s">
        <v>53</v>
      </c>
    </row>
    <row r="114" spans="1:12" s="1" customFormat="1" ht="15" customHeight="1">
      <c r="A114" s="23" t="s">
        <v>20</v>
      </c>
      <c r="B114" s="89">
        <v>234</v>
      </c>
      <c r="C114" s="71"/>
      <c r="D114" s="72">
        <v>-60</v>
      </c>
      <c r="E114" s="118">
        <f t="shared" si="0"/>
        <v>-50</v>
      </c>
      <c r="F114" s="117">
        <v>-15</v>
      </c>
      <c r="G114" s="117">
        <v>-20</v>
      </c>
      <c r="H114" s="117">
        <v>-15</v>
      </c>
      <c r="I114" s="117">
        <v>0</v>
      </c>
      <c r="J114" s="33"/>
      <c r="L114" s="8"/>
    </row>
    <row r="115" spans="1:12" s="1" customFormat="1" ht="14.25" customHeight="1">
      <c r="A115" s="23" t="s">
        <v>47</v>
      </c>
      <c r="B115" s="89">
        <v>235</v>
      </c>
      <c r="C115" s="71"/>
      <c r="D115" s="72">
        <v>-100</v>
      </c>
      <c r="E115" s="118">
        <f t="shared" si="0"/>
        <v>-148.19999999999999</v>
      </c>
      <c r="F115" s="117">
        <v>-26</v>
      </c>
      <c r="G115" s="117">
        <v>-24</v>
      </c>
      <c r="H115" s="117">
        <v>-26</v>
      </c>
      <c r="I115" s="117">
        <v>-72.2</v>
      </c>
      <c r="J115" s="33"/>
    </row>
    <row r="116" spans="1:12" s="1" customFormat="1" ht="13.5" customHeight="1">
      <c r="A116" s="90" t="s">
        <v>104</v>
      </c>
      <c r="B116" s="89">
        <v>236</v>
      </c>
      <c r="C116" s="71"/>
      <c r="D116" s="72">
        <v>-7117.2</v>
      </c>
      <c r="E116" s="118">
        <f t="shared" si="0"/>
        <v>-6842.3</v>
      </c>
      <c r="F116" s="117">
        <v>-1274.3</v>
      </c>
      <c r="G116" s="117">
        <v>-1817.2</v>
      </c>
      <c r="H116" s="117">
        <v>-1938.6</v>
      </c>
      <c r="I116" s="117">
        <v>-1812.2</v>
      </c>
      <c r="J116" s="33"/>
    </row>
    <row r="117" spans="1:12" s="1" customFormat="1" ht="14.25" customHeight="1">
      <c r="A117" s="91" t="s">
        <v>165</v>
      </c>
      <c r="B117" s="89">
        <v>237</v>
      </c>
      <c r="C117" s="71"/>
      <c r="D117" s="72">
        <v>-1533.1</v>
      </c>
      <c r="E117" s="118">
        <f t="shared" si="0"/>
        <v>-1417.4</v>
      </c>
      <c r="F117" s="117">
        <v>-229</v>
      </c>
      <c r="G117" s="117">
        <v>-374.6</v>
      </c>
      <c r="H117" s="117">
        <v>-414.8</v>
      </c>
      <c r="I117" s="117">
        <v>-399</v>
      </c>
      <c r="J117" s="33"/>
    </row>
    <row r="118" spans="1:12" s="1" customFormat="1" ht="15" customHeight="1">
      <c r="A118" s="23" t="s">
        <v>115</v>
      </c>
      <c r="B118" s="89">
        <v>238</v>
      </c>
      <c r="C118" s="71"/>
      <c r="D118" s="72">
        <v>0</v>
      </c>
      <c r="E118" s="118">
        <f t="shared" si="0"/>
        <v>-560</v>
      </c>
      <c r="F118" s="117">
        <v>-60</v>
      </c>
      <c r="G118" s="117">
        <v>-60</v>
      </c>
      <c r="H118" s="117">
        <v>-250</v>
      </c>
      <c r="I118" s="117">
        <v>-190</v>
      </c>
      <c r="J118" s="33"/>
    </row>
    <row r="119" spans="1:12" s="1" customFormat="1" ht="18.75" customHeight="1">
      <c r="A119" s="23" t="s">
        <v>166</v>
      </c>
      <c r="B119" s="89">
        <v>239</v>
      </c>
      <c r="C119" s="71"/>
      <c r="D119" s="72">
        <v>0</v>
      </c>
      <c r="E119" s="118">
        <f t="shared" si="0"/>
        <v>-115.2</v>
      </c>
      <c r="F119" s="117">
        <v>-13.2</v>
      </c>
      <c r="G119" s="117">
        <v>-12</v>
      </c>
      <c r="H119" s="117">
        <v>-50</v>
      </c>
      <c r="I119" s="117">
        <v>-40</v>
      </c>
      <c r="J119" s="33"/>
    </row>
    <row r="120" spans="1:12" s="1" customFormat="1" ht="15.75" customHeight="1">
      <c r="A120" s="23" t="s">
        <v>52</v>
      </c>
      <c r="B120" s="89">
        <v>240</v>
      </c>
      <c r="C120" s="71"/>
      <c r="D120" s="72">
        <v>-20</v>
      </c>
      <c r="E120" s="118">
        <f t="shared" si="0"/>
        <v>-49.300000000000004</v>
      </c>
      <c r="F120" s="117">
        <v>-5</v>
      </c>
      <c r="G120" s="117">
        <v>-11</v>
      </c>
      <c r="H120" s="117">
        <v>-16.7</v>
      </c>
      <c r="I120" s="117">
        <v>-16.600000000000001</v>
      </c>
      <c r="J120" s="33" t="s">
        <v>108</v>
      </c>
    </row>
    <row r="121" spans="1:12" s="1" customFormat="1" ht="27" customHeight="1">
      <c r="A121" s="23" t="s">
        <v>120</v>
      </c>
      <c r="B121" s="89">
        <v>241</v>
      </c>
      <c r="C121" s="71"/>
      <c r="D121" s="72">
        <v>-371.3</v>
      </c>
      <c r="E121" s="118">
        <f t="shared" si="0"/>
        <v>-683.3</v>
      </c>
      <c r="F121" s="117">
        <v>-86.7</v>
      </c>
      <c r="G121" s="117">
        <v>-109.7</v>
      </c>
      <c r="H121" s="117">
        <v>-253.7</v>
      </c>
      <c r="I121" s="117">
        <v>-233.2</v>
      </c>
      <c r="J121" s="33"/>
    </row>
    <row r="122" spans="1:12" s="1" customFormat="1" ht="15" customHeight="1">
      <c r="A122" s="23" t="s">
        <v>98</v>
      </c>
      <c r="B122" s="81">
        <v>142</v>
      </c>
      <c r="C122" s="71"/>
      <c r="D122" s="72">
        <v>-72</v>
      </c>
      <c r="E122" s="118">
        <f>SUM(F122:I122)</f>
        <v>-72</v>
      </c>
      <c r="F122" s="117">
        <v>-18</v>
      </c>
      <c r="G122" s="117">
        <v>-18</v>
      </c>
      <c r="H122" s="117">
        <v>-18</v>
      </c>
      <c r="I122" s="117">
        <v>-18</v>
      </c>
      <c r="J122" s="33"/>
    </row>
    <row r="123" spans="1:12" s="1" customFormat="1" ht="14.25" customHeight="1">
      <c r="A123" s="23" t="s">
        <v>99</v>
      </c>
      <c r="B123" s="81">
        <v>143</v>
      </c>
      <c r="C123" s="71"/>
      <c r="D123" s="72">
        <v>-29.3</v>
      </c>
      <c r="E123" s="118">
        <f>SUM(F123:I123)</f>
        <v>-52</v>
      </c>
      <c r="F123" s="117">
        <v>-7.3</v>
      </c>
      <c r="G123" s="117">
        <v>-7.8</v>
      </c>
      <c r="H123" s="117">
        <v>-18.5</v>
      </c>
      <c r="I123" s="117">
        <v>-18.399999999999999</v>
      </c>
      <c r="J123" s="33"/>
    </row>
    <row r="124" spans="1:12" s="1" customFormat="1" ht="13.5" customHeight="1">
      <c r="A124" s="23" t="s">
        <v>100</v>
      </c>
      <c r="B124" s="81">
        <v>144</v>
      </c>
      <c r="C124" s="71"/>
      <c r="D124" s="72">
        <v>-30</v>
      </c>
      <c r="E124" s="118">
        <f>SUM(F124:I124)</f>
        <v>-31.1</v>
      </c>
      <c r="F124" s="117">
        <v>-7</v>
      </c>
      <c r="G124" s="117">
        <v>-8</v>
      </c>
      <c r="H124" s="117">
        <v>-16.100000000000001</v>
      </c>
      <c r="I124" s="117">
        <v>0</v>
      </c>
      <c r="J124" s="33" t="s">
        <v>107</v>
      </c>
    </row>
    <row r="125" spans="1:12" s="1" customFormat="1" ht="12" customHeight="1">
      <c r="A125" s="58" t="s">
        <v>141</v>
      </c>
      <c r="B125" s="92">
        <v>250</v>
      </c>
      <c r="C125" s="71"/>
      <c r="D125" s="72"/>
      <c r="E125" s="117">
        <f t="shared" si="0"/>
        <v>0</v>
      </c>
      <c r="F125" s="117"/>
      <c r="G125" s="117"/>
      <c r="H125" s="117"/>
      <c r="I125" s="117"/>
      <c r="J125" s="33"/>
    </row>
    <row r="126" spans="1:12" s="1" customFormat="1" ht="13.5" customHeight="1">
      <c r="A126" s="23" t="s">
        <v>91</v>
      </c>
      <c r="B126" s="92">
        <v>260</v>
      </c>
      <c r="C126" s="71"/>
      <c r="D126" s="72">
        <v>-1.5</v>
      </c>
      <c r="E126" s="118">
        <f t="shared" si="0"/>
        <v>-1.5</v>
      </c>
      <c r="F126" s="117">
        <v>-0.5</v>
      </c>
      <c r="G126" s="117">
        <v>-0.5</v>
      </c>
      <c r="H126" s="117"/>
      <c r="I126" s="117">
        <v>-0.5</v>
      </c>
      <c r="J126" s="33"/>
    </row>
    <row r="127" spans="1:12" s="1" customFormat="1" ht="12.75" customHeight="1">
      <c r="A127" s="23" t="s">
        <v>73</v>
      </c>
      <c r="B127" s="92">
        <v>270</v>
      </c>
      <c r="C127" s="71"/>
      <c r="D127" s="72">
        <v>-18</v>
      </c>
      <c r="E127" s="118">
        <f t="shared" si="0"/>
        <v>-82</v>
      </c>
      <c r="F127" s="117">
        <v>-20.6</v>
      </c>
      <c r="G127" s="117">
        <v>-7.4</v>
      </c>
      <c r="H127" s="117">
        <v>-28.5</v>
      </c>
      <c r="I127" s="117">
        <v>-25.5</v>
      </c>
      <c r="J127" s="33" t="s">
        <v>105</v>
      </c>
    </row>
    <row r="128" spans="1:12" s="1" customFormat="1" ht="45">
      <c r="A128" s="95" t="s">
        <v>24</v>
      </c>
      <c r="B128" s="92">
        <v>280</v>
      </c>
      <c r="C128" s="71"/>
      <c r="D128" s="72">
        <v>-85</v>
      </c>
      <c r="E128" s="118">
        <f t="shared" si="0"/>
        <v>-314</v>
      </c>
      <c r="F128" s="117">
        <f t="shared" ref="F128:H128" si="15">F129+F130+F131+F132+F133</f>
        <v>-34</v>
      </c>
      <c r="G128" s="117">
        <f t="shared" si="15"/>
        <v>-35</v>
      </c>
      <c r="H128" s="117">
        <f t="shared" si="15"/>
        <v>-119</v>
      </c>
      <c r="I128" s="117">
        <f>I129+I130+I131+I132+I133</f>
        <v>-126</v>
      </c>
      <c r="J128" s="33" t="s">
        <v>93</v>
      </c>
    </row>
    <row r="129" spans="1:10" s="1" customFormat="1">
      <c r="A129" s="23" t="s">
        <v>123</v>
      </c>
      <c r="B129" s="89">
        <v>281</v>
      </c>
      <c r="C129" s="83"/>
      <c r="D129" s="84"/>
      <c r="E129" s="82">
        <f t="shared" si="0"/>
        <v>-25</v>
      </c>
      <c r="F129" s="82"/>
      <c r="G129" s="82"/>
      <c r="H129" s="82">
        <v>-10</v>
      </c>
      <c r="I129" s="82">
        <v>-15</v>
      </c>
      <c r="J129" s="33"/>
    </row>
    <row r="130" spans="1:10" s="1" customFormat="1">
      <c r="A130" s="23" t="s">
        <v>130</v>
      </c>
      <c r="B130" s="89">
        <v>282</v>
      </c>
      <c r="C130" s="83"/>
      <c r="D130" s="84"/>
      <c r="E130" s="82">
        <f t="shared" si="0"/>
        <v>-120</v>
      </c>
      <c r="F130" s="82">
        <v>-30</v>
      </c>
      <c r="G130" s="82">
        <v>-30</v>
      </c>
      <c r="H130" s="82">
        <v>-30</v>
      </c>
      <c r="I130" s="82">
        <v>-30</v>
      </c>
      <c r="J130" s="33"/>
    </row>
    <row r="131" spans="1:10" s="1" customFormat="1">
      <c r="A131" s="23" t="s">
        <v>146</v>
      </c>
      <c r="B131" s="89">
        <v>283</v>
      </c>
      <c r="C131" s="83"/>
      <c r="D131" s="84"/>
      <c r="E131" s="82">
        <f t="shared" si="0"/>
        <v>-145</v>
      </c>
      <c r="F131" s="82"/>
      <c r="G131" s="82"/>
      <c r="H131" s="82">
        <v>-72</v>
      </c>
      <c r="I131" s="82">
        <v>-73</v>
      </c>
      <c r="J131" s="33"/>
    </row>
    <row r="132" spans="1:10" s="1" customFormat="1">
      <c r="A132" s="23" t="s">
        <v>124</v>
      </c>
      <c r="B132" s="89">
        <v>284</v>
      </c>
      <c r="C132" s="83"/>
      <c r="D132" s="84"/>
      <c r="E132" s="82">
        <f t="shared" si="0"/>
        <v>-10</v>
      </c>
      <c r="F132" s="82">
        <v>-0.5</v>
      </c>
      <c r="G132" s="82">
        <v>-2.5</v>
      </c>
      <c r="H132" s="82">
        <v>-3.5</v>
      </c>
      <c r="I132" s="82">
        <v>-3.5</v>
      </c>
      <c r="J132" s="33"/>
    </row>
    <row r="133" spans="1:10" s="1" customFormat="1">
      <c r="A133" s="23" t="s">
        <v>156</v>
      </c>
      <c r="B133" s="89">
        <v>285</v>
      </c>
      <c r="C133" s="83"/>
      <c r="D133" s="84"/>
      <c r="E133" s="82">
        <f t="shared" si="0"/>
        <v>-14</v>
      </c>
      <c r="F133" s="82">
        <v>-3.5</v>
      </c>
      <c r="G133" s="82">
        <v>-2.5</v>
      </c>
      <c r="H133" s="82">
        <v>-3.5</v>
      </c>
      <c r="I133" s="82">
        <v>-4.5</v>
      </c>
      <c r="J133" s="33"/>
    </row>
    <row r="134" spans="1:10" s="1" customFormat="1">
      <c r="A134" s="58" t="s">
        <v>55</v>
      </c>
      <c r="B134" s="92">
        <v>290</v>
      </c>
      <c r="C134" s="71"/>
      <c r="D134" s="93">
        <f>SUM(D135:D136)</f>
        <v>8.9</v>
      </c>
      <c r="E134" s="79">
        <f t="shared" si="0"/>
        <v>8.9</v>
      </c>
      <c r="F134" s="79">
        <f>SUM(F135:F136)</f>
        <v>2.2000000000000002</v>
      </c>
      <c r="G134" s="79">
        <f>SUM(G135:G136)</f>
        <v>2.2000000000000002</v>
      </c>
      <c r="H134" s="79">
        <f>SUM(H135:H136)</f>
        <v>2.2999999999999998</v>
      </c>
      <c r="I134" s="79">
        <f>SUM(I135:I136)</f>
        <v>2.2000000000000002</v>
      </c>
      <c r="J134" s="33"/>
    </row>
    <row r="135" spans="1:10" s="1" customFormat="1">
      <c r="A135" s="23" t="s">
        <v>66</v>
      </c>
      <c r="B135" s="94">
        <v>291</v>
      </c>
      <c r="C135" s="71"/>
      <c r="D135" s="72">
        <v>8.9</v>
      </c>
      <c r="E135" s="79">
        <f t="shared" si="0"/>
        <v>8.9</v>
      </c>
      <c r="F135" s="80">
        <v>2.2000000000000002</v>
      </c>
      <c r="G135" s="80">
        <v>2.2000000000000002</v>
      </c>
      <c r="H135" s="80">
        <v>2.2999999999999998</v>
      </c>
      <c r="I135" s="80">
        <v>2.2000000000000002</v>
      </c>
      <c r="J135" s="33" t="s">
        <v>106</v>
      </c>
    </row>
    <row r="136" spans="1:10" s="1" customFormat="1">
      <c r="A136" s="23" t="s">
        <v>67</v>
      </c>
      <c r="B136" s="94">
        <v>292</v>
      </c>
      <c r="C136" s="71"/>
      <c r="D136" s="72"/>
      <c r="E136" s="80">
        <f t="shared" ref="E136:E137" si="16">SUM(F136:I136)</f>
        <v>0</v>
      </c>
      <c r="F136" s="71"/>
      <c r="G136" s="71"/>
      <c r="H136" s="80"/>
      <c r="I136" s="80">
        <v>0</v>
      </c>
      <c r="J136" s="33" t="s">
        <v>74</v>
      </c>
    </row>
    <row r="137" spans="1:10" s="1" customFormat="1">
      <c r="A137" s="58" t="s">
        <v>69</v>
      </c>
      <c r="B137" s="20">
        <v>300</v>
      </c>
      <c r="C137" s="71"/>
      <c r="D137" s="72"/>
      <c r="E137" s="80">
        <f t="shared" si="16"/>
        <v>0</v>
      </c>
      <c r="F137" s="71"/>
      <c r="G137" s="71"/>
      <c r="H137" s="71"/>
      <c r="I137" s="71"/>
      <c r="J137" s="33"/>
    </row>
    <row r="138" spans="1:10" s="1" customFormat="1">
      <c r="A138" s="194" t="s">
        <v>71</v>
      </c>
      <c r="B138" s="195"/>
      <c r="C138" s="195"/>
      <c r="D138" s="195"/>
      <c r="E138" s="195"/>
      <c r="F138" s="195"/>
      <c r="G138" s="195"/>
      <c r="H138" s="195"/>
      <c r="I138" s="204"/>
      <c r="J138" s="33"/>
    </row>
    <row r="139" spans="1:10" s="1" customFormat="1">
      <c r="A139" s="58" t="s">
        <v>72</v>
      </c>
      <c r="B139" s="20">
        <v>400</v>
      </c>
      <c r="C139" s="71"/>
      <c r="D139" s="80">
        <f>D53+D58+D81+D57+D96</f>
        <v>-3002</v>
      </c>
      <c r="E139" s="80">
        <f t="shared" ref="E139:E144" si="17">SUM(F139:I139)</f>
        <v>-4968.5</v>
      </c>
      <c r="F139" s="80">
        <f>F53+F58+F81+F57+F96</f>
        <v>-605.40000000000009</v>
      </c>
      <c r="G139" s="80">
        <f>G53+G58+G81+G57+G96</f>
        <v>-1191.5999999999999</v>
      </c>
      <c r="H139" s="80">
        <f>H53+H58+H81+H57+H96</f>
        <v>-1857.6000000000001</v>
      </c>
      <c r="I139" s="80">
        <f>I53+I58+I81+I57+I96</f>
        <v>-1313.8999999999999</v>
      </c>
      <c r="J139" s="33"/>
    </row>
    <row r="140" spans="1:10" s="1" customFormat="1">
      <c r="A140" s="58" t="s">
        <v>3</v>
      </c>
      <c r="B140" s="20">
        <v>410</v>
      </c>
      <c r="C140" s="71"/>
      <c r="D140" s="80">
        <f>D79+D116</f>
        <v>-31516.799999999999</v>
      </c>
      <c r="E140" s="80">
        <f t="shared" si="17"/>
        <v>-32558.400000000001</v>
      </c>
      <c r="F140" s="80">
        <f t="shared" ref="F140:I141" si="18">F79+F116</f>
        <v>-7308.9000000000005</v>
      </c>
      <c r="G140" s="80">
        <f t="shared" si="18"/>
        <v>-7950.4</v>
      </c>
      <c r="H140" s="80">
        <f t="shared" si="18"/>
        <v>-8938.7000000000007</v>
      </c>
      <c r="I140" s="80">
        <f t="shared" si="18"/>
        <v>-8360.4</v>
      </c>
      <c r="J140" s="33"/>
    </row>
    <row r="141" spans="1:10" s="1" customFormat="1">
      <c r="A141" s="58" t="s">
        <v>4</v>
      </c>
      <c r="B141" s="20">
        <v>420</v>
      </c>
      <c r="C141" s="71"/>
      <c r="D141" s="80">
        <f>D80+D117</f>
        <v>-6323.4</v>
      </c>
      <c r="E141" s="80">
        <f t="shared" si="17"/>
        <v>-6716.7999999999993</v>
      </c>
      <c r="F141" s="80">
        <f t="shared" si="18"/>
        <v>-1572.4</v>
      </c>
      <c r="G141" s="80">
        <f t="shared" si="18"/>
        <v>-1699.5</v>
      </c>
      <c r="H141" s="80">
        <f t="shared" si="18"/>
        <v>-1712.5</v>
      </c>
      <c r="I141" s="80">
        <f t="shared" si="18"/>
        <v>-1732.4</v>
      </c>
      <c r="J141" s="33"/>
    </row>
    <row r="142" spans="1:10" s="1" customFormat="1">
      <c r="A142" s="58" t="s">
        <v>65</v>
      </c>
      <c r="B142" s="20">
        <v>430</v>
      </c>
      <c r="C142" s="71"/>
      <c r="D142" s="71"/>
      <c r="E142" s="80">
        <f t="shared" si="17"/>
        <v>0</v>
      </c>
      <c r="F142" s="80">
        <f>F107+F125</f>
        <v>0</v>
      </c>
      <c r="G142" s="80">
        <f>G107+G125</f>
        <v>0</v>
      </c>
      <c r="H142" s="80">
        <f>H107+H125</f>
        <v>0</v>
      </c>
      <c r="I142" s="80">
        <f>I107+I125</f>
        <v>0</v>
      </c>
      <c r="J142" s="33"/>
    </row>
    <row r="143" spans="1:10" s="1" customFormat="1">
      <c r="A143" s="58" t="s">
        <v>18</v>
      </c>
      <c r="B143" s="20">
        <v>440</v>
      </c>
      <c r="C143" s="71"/>
      <c r="D143" s="80">
        <f>D112+D113+D114+D115+D120+D121+D122+D123+D124+D126+D127+D128+D108+D111</f>
        <v>-1455.1</v>
      </c>
      <c r="E143" s="80">
        <f t="shared" si="17"/>
        <v>-2665.3999999999996</v>
      </c>
      <c r="F143" s="80">
        <f>F112+F113+F114+F115+F120+F121+F122+F123+F124+F126+F127+F128+F108+F111</f>
        <v>-431.50000000000006</v>
      </c>
      <c r="G143" s="80">
        <f>G112+G113+G114+G115+G120+G121+G122+G123+G124+G126+G127+G128+G108+G111</f>
        <v>-487.7</v>
      </c>
      <c r="H143" s="80">
        <f>H112+H113+H114+H115+H120+H121+H122+H123+H124+H126+H127+H128+H108+H111</f>
        <v>-810.4</v>
      </c>
      <c r="I143" s="80">
        <f>I112+I113+I114+I115+I120+I121+I122+I123+I124+I126+I127+I128+I108+I111</f>
        <v>-935.8</v>
      </c>
      <c r="J143" s="33"/>
    </row>
    <row r="144" spans="1:10" s="1" customFormat="1">
      <c r="A144" s="58" t="s">
        <v>75</v>
      </c>
      <c r="B144" s="20">
        <v>450</v>
      </c>
      <c r="C144" s="71"/>
      <c r="D144" s="79">
        <f>SUM(D139:D143)</f>
        <v>-42297.3</v>
      </c>
      <c r="E144" s="79">
        <f t="shared" si="17"/>
        <v>-46909.100000000006</v>
      </c>
      <c r="F144" s="79">
        <f>SUM(F139:F143)</f>
        <v>-9918.2000000000007</v>
      </c>
      <c r="G144" s="79">
        <f>SUM(G139:G143)</f>
        <v>-11329.2</v>
      </c>
      <c r="H144" s="79">
        <f>SUM(H139:H143)</f>
        <v>-13319.2</v>
      </c>
      <c r="I144" s="79">
        <f>SUM(I139:I143)</f>
        <v>-12342.499999999998</v>
      </c>
      <c r="J144" s="33"/>
    </row>
    <row r="145" spans="1:10" s="1" customFormat="1">
      <c r="A145" s="194" t="s">
        <v>77</v>
      </c>
      <c r="B145" s="195"/>
      <c r="C145" s="195"/>
      <c r="D145" s="195"/>
      <c r="E145" s="195"/>
      <c r="F145" s="195"/>
      <c r="G145" s="195"/>
      <c r="H145" s="195"/>
      <c r="I145" s="204"/>
      <c r="J145" s="33"/>
    </row>
    <row r="146" spans="1:10" s="1" customFormat="1">
      <c r="A146" s="58" t="s">
        <v>83</v>
      </c>
      <c r="B146" s="20">
        <v>500</v>
      </c>
      <c r="C146" s="71"/>
      <c r="D146" s="71"/>
      <c r="E146" s="79">
        <f>SUM(F146:I146)</f>
        <v>0</v>
      </c>
      <c r="F146" s="71"/>
      <c r="G146" s="71"/>
      <c r="H146" s="80"/>
      <c r="I146" s="80"/>
      <c r="J146" s="33"/>
    </row>
    <row r="147" spans="1:10" s="1" customFormat="1" ht="25.5">
      <c r="A147" s="58" t="s">
        <v>76</v>
      </c>
      <c r="B147" s="94">
        <v>501</v>
      </c>
      <c r="C147" s="71"/>
      <c r="D147" s="71"/>
      <c r="E147" s="79">
        <f>SUM(F147:I147)</f>
        <v>0</v>
      </c>
      <c r="F147" s="71"/>
      <c r="G147" s="71"/>
      <c r="H147" s="80"/>
      <c r="I147" s="80"/>
      <c r="J147" s="33"/>
    </row>
    <row r="148" spans="1:10" s="1" customFormat="1">
      <c r="A148" s="95" t="s">
        <v>68</v>
      </c>
      <c r="B148" s="96">
        <v>510</v>
      </c>
      <c r="C148" s="77">
        <f>SUM(C149:C154)</f>
        <v>0</v>
      </c>
      <c r="D148" s="79">
        <f>SUM(D149:D154)</f>
        <v>-216</v>
      </c>
      <c r="E148" s="79">
        <f t="shared" ref="E148:E154" si="19">SUM(F148:I148)</f>
        <v>-759.25</v>
      </c>
      <c r="F148" s="79">
        <f>SUM(F149:F154)</f>
        <v>0</v>
      </c>
      <c r="G148" s="79">
        <f>SUM(G149:G154)</f>
        <v>-152.9</v>
      </c>
      <c r="H148" s="79">
        <f>SUM(H149:H154)</f>
        <v>-585</v>
      </c>
      <c r="I148" s="79">
        <f>SUM(I149:I154)</f>
        <v>-21.35</v>
      </c>
      <c r="J148" s="33"/>
    </row>
    <row r="149" spans="1:10" s="1" customFormat="1">
      <c r="A149" s="58" t="s">
        <v>0</v>
      </c>
      <c r="B149" s="97">
        <v>511</v>
      </c>
      <c r="C149" s="71"/>
      <c r="D149" s="71"/>
      <c r="E149" s="80">
        <f t="shared" si="19"/>
        <v>0</v>
      </c>
      <c r="F149" s="80"/>
      <c r="G149" s="80"/>
      <c r="H149" s="80"/>
      <c r="I149" s="80"/>
      <c r="J149" s="33"/>
    </row>
    <row r="150" spans="1:10" s="1" customFormat="1">
      <c r="A150" s="58" t="s">
        <v>1</v>
      </c>
      <c r="B150" s="98">
        <v>512</v>
      </c>
      <c r="C150" s="71"/>
      <c r="D150" s="72">
        <v>-200</v>
      </c>
      <c r="E150" s="117">
        <f>SUM(F150:I150)</f>
        <v>-735.25</v>
      </c>
      <c r="F150" s="80">
        <v>0</v>
      </c>
      <c r="G150" s="80">
        <v>-143.9</v>
      </c>
      <c r="H150" s="80">
        <v>-570</v>
      </c>
      <c r="I150" s="80">
        <v>-21.35</v>
      </c>
      <c r="J150" s="33"/>
    </row>
    <row r="151" spans="1:10" s="1" customFormat="1">
      <c r="A151" s="58" t="s">
        <v>19</v>
      </c>
      <c r="B151" s="97">
        <v>513</v>
      </c>
      <c r="C151" s="71"/>
      <c r="D151" s="72">
        <v>-16</v>
      </c>
      <c r="E151" s="117">
        <f t="shared" si="19"/>
        <v>-24</v>
      </c>
      <c r="F151" s="80">
        <v>0</v>
      </c>
      <c r="G151" s="80">
        <v>-9</v>
      </c>
      <c r="H151" s="80">
        <v>-15</v>
      </c>
      <c r="I151" s="80">
        <v>0</v>
      </c>
      <c r="J151" s="33"/>
    </row>
    <row r="152" spans="1:10" s="1" customFormat="1">
      <c r="A152" s="58" t="s">
        <v>2</v>
      </c>
      <c r="B152" s="98">
        <v>514</v>
      </c>
      <c r="C152" s="71"/>
      <c r="D152" s="72"/>
      <c r="E152" s="80">
        <f t="shared" si="19"/>
        <v>0</v>
      </c>
      <c r="F152" s="80"/>
      <c r="G152" s="80"/>
      <c r="H152" s="80"/>
      <c r="I152" s="80"/>
      <c r="J152" s="33"/>
    </row>
    <row r="153" spans="1:10" s="1" customFormat="1" ht="25.5">
      <c r="A153" s="58" t="s">
        <v>21</v>
      </c>
      <c r="B153" s="97">
        <v>515</v>
      </c>
      <c r="C153" s="71"/>
      <c r="D153" s="72"/>
      <c r="E153" s="80">
        <f t="shared" si="19"/>
        <v>0</v>
      </c>
      <c r="F153" s="80"/>
      <c r="G153" s="80"/>
      <c r="H153" s="80"/>
      <c r="I153" s="80"/>
      <c r="J153" s="33"/>
    </row>
    <row r="154" spans="1:10" s="1" customFormat="1">
      <c r="A154" s="58" t="s">
        <v>41</v>
      </c>
      <c r="B154" s="99">
        <v>516</v>
      </c>
      <c r="C154" s="71"/>
      <c r="D154" s="71"/>
      <c r="E154" s="80">
        <f t="shared" si="19"/>
        <v>0</v>
      </c>
      <c r="F154" s="80"/>
      <c r="G154" s="80"/>
      <c r="H154" s="80"/>
      <c r="I154" s="80"/>
      <c r="J154" s="33"/>
    </row>
    <row r="155" spans="1:10" s="1" customFormat="1">
      <c r="A155" s="194" t="s">
        <v>82</v>
      </c>
      <c r="B155" s="195"/>
      <c r="C155" s="195"/>
      <c r="D155" s="195"/>
      <c r="E155" s="195"/>
      <c r="F155" s="195"/>
      <c r="G155" s="195"/>
      <c r="H155" s="195"/>
      <c r="I155" s="204"/>
      <c r="J155" s="33"/>
    </row>
    <row r="156" spans="1:10" s="1" customFormat="1">
      <c r="A156" s="58" t="s">
        <v>84</v>
      </c>
      <c r="B156" s="100">
        <v>600</v>
      </c>
      <c r="C156" s="71">
        <f>SUM(C157:C160)</f>
        <v>0</v>
      </c>
      <c r="D156" s="101">
        <f>SUM(D157:D160)</f>
        <v>76</v>
      </c>
      <c r="E156" s="80">
        <f t="shared" ref="E156:E170" si="20">SUM(F156:I156)</f>
        <v>76</v>
      </c>
      <c r="F156" s="80">
        <f>SUM(F157:F160)</f>
        <v>19</v>
      </c>
      <c r="G156" s="80">
        <f>SUM(G157:G160)</f>
        <v>19</v>
      </c>
      <c r="H156" s="80">
        <f>SUM(H157:H160)</f>
        <v>19</v>
      </c>
      <c r="I156" s="80">
        <f>SUM(I157:I160)</f>
        <v>19</v>
      </c>
      <c r="J156" s="33"/>
    </row>
    <row r="157" spans="1:10" s="1" customFormat="1">
      <c r="A157" s="23" t="s">
        <v>85</v>
      </c>
      <c r="B157" s="99">
        <v>601</v>
      </c>
      <c r="C157" s="71"/>
      <c r="D157" s="101"/>
      <c r="E157" s="80">
        <f t="shared" si="20"/>
        <v>0</v>
      </c>
      <c r="F157" s="80"/>
      <c r="G157" s="80"/>
      <c r="H157" s="80"/>
      <c r="I157" s="80"/>
      <c r="J157" s="33"/>
    </row>
    <row r="158" spans="1:10" s="1" customFormat="1">
      <c r="A158" s="23" t="s">
        <v>86</v>
      </c>
      <c r="B158" s="99">
        <v>602</v>
      </c>
      <c r="C158" s="71"/>
      <c r="D158" s="101"/>
      <c r="E158" s="80">
        <f t="shared" si="20"/>
        <v>0</v>
      </c>
      <c r="F158" s="80"/>
      <c r="G158" s="80"/>
      <c r="H158" s="80"/>
      <c r="I158" s="80"/>
      <c r="J158" s="33"/>
    </row>
    <row r="159" spans="1:10" s="1" customFormat="1">
      <c r="A159" s="23" t="s">
        <v>87</v>
      </c>
      <c r="B159" s="99">
        <v>603</v>
      </c>
      <c r="C159" s="71"/>
      <c r="D159" s="101">
        <v>76</v>
      </c>
      <c r="E159" s="80">
        <f t="shared" si="20"/>
        <v>76</v>
      </c>
      <c r="F159" s="80">
        <v>19</v>
      </c>
      <c r="G159" s="80">
        <v>19</v>
      </c>
      <c r="H159" s="80">
        <v>19</v>
      </c>
      <c r="I159" s="80">
        <v>19</v>
      </c>
      <c r="J159" s="33"/>
    </row>
    <row r="160" spans="1:10" s="1" customFormat="1">
      <c r="A160" s="23" t="s">
        <v>88</v>
      </c>
      <c r="B160" s="100">
        <v>610</v>
      </c>
      <c r="C160" s="71"/>
      <c r="D160" s="101"/>
      <c r="E160" s="80">
        <f t="shared" si="20"/>
        <v>0</v>
      </c>
      <c r="F160" s="80"/>
      <c r="G160" s="80"/>
      <c r="H160" s="80"/>
      <c r="I160" s="80"/>
      <c r="J160" s="33"/>
    </row>
    <row r="161" spans="1:11" s="1" customFormat="1">
      <c r="A161" s="58" t="s">
        <v>136</v>
      </c>
      <c r="B161" s="100">
        <v>611</v>
      </c>
      <c r="C161" s="71"/>
      <c r="D161" s="101"/>
      <c r="E161" s="80">
        <f t="shared" si="20"/>
        <v>0</v>
      </c>
      <c r="F161" s="80"/>
      <c r="G161" s="80"/>
      <c r="H161" s="80"/>
      <c r="I161" s="80"/>
      <c r="J161" s="33"/>
    </row>
    <row r="162" spans="1:11" s="1" customFormat="1">
      <c r="A162" s="58" t="s">
        <v>154</v>
      </c>
      <c r="B162" s="100">
        <v>612</v>
      </c>
      <c r="C162" s="71"/>
      <c r="D162" s="101">
        <v>55</v>
      </c>
      <c r="E162" s="80">
        <f t="shared" si="20"/>
        <v>416.2</v>
      </c>
      <c r="F162" s="80">
        <v>16.2</v>
      </c>
      <c r="G162" s="80">
        <v>370</v>
      </c>
      <c r="H162" s="80">
        <v>15</v>
      </c>
      <c r="I162" s="80">
        <v>15</v>
      </c>
      <c r="J162" s="33"/>
    </row>
    <row r="163" spans="1:11" s="1" customFormat="1">
      <c r="A163" s="58" t="s">
        <v>89</v>
      </c>
      <c r="B163" s="100">
        <v>620</v>
      </c>
      <c r="C163" s="71">
        <f>SUM(C164:C167)</f>
        <v>0</v>
      </c>
      <c r="D163" s="101">
        <f>SUM(D164:D166)</f>
        <v>0</v>
      </c>
      <c r="E163" s="80">
        <f t="shared" si="20"/>
        <v>-386.2</v>
      </c>
      <c r="F163" s="117">
        <f>SUM(F164:F167)</f>
        <v>-16.2</v>
      </c>
      <c r="G163" s="117">
        <f>SUM(G164:G167)</f>
        <v>-370</v>
      </c>
      <c r="H163" s="80">
        <f>SUM(H164:H167)</f>
        <v>0</v>
      </c>
      <c r="I163" s="80">
        <f>SUM(I164:I167)</f>
        <v>0</v>
      </c>
      <c r="J163" s="33"/>
    </row>
    <row r="164" spans="1:11" s="1" customFormat="1">
      <c r="A164" s="23" t="s">
        <v>85</v>
      </c>
      <c r="B164" s="99">
        <v>621</v>
      </c>
      <c r="C164" s="71"/>
      <c r="D164" s="101"/>
      <c r="E164" s="80">
        <f t="shared" si="20"/>
        <v>0</v>
      </c>
      <c r="F164" s="117"/>
      <c r="G164" s="117"/>
      <c r="H164" s="80"/>
      <c r="I164" s="80"/>
      <c r="J164" s="33"/>
    </row>
    <row r="165" spans="1:11" s="1" customFormat="1">
      <c r="A165" s="23" t="s">
        <v>86</v>
      </c>
      <c r="B165" s="99">
        <v>622</v>
      </c>
      <c r="C165" s="71"/>
      <c r="D165" s="101"/>
      <c r="E165" s="80">
        <f t="shared" si="20"/>
        <v>0</v>
      </c>
      <c r="F165" s="117"/>
      <c r="G165" s="117"/>
      <c r="H165" s="80"/>
      <c r="I165" s="80"/>
      <c r="J165" s="33"/>
    </row>
    <row r="166" spans="1:11" s="1" customFormat="1">
      <c r="A166" s="23" t="s">
        <v>154</v>
      </c>
      <c r="B166" s="99">
        <v>623</v>
      </c>
      <c r="C166" s="71"/>
      <c r="D166" s="101"/>
      <c r="E166" s="117">
        <f t="shared" si="20"/>
        <v>-386.2</v>
      </c>
      <c r="F166" s="117">
        <v>-16.2</v>
      </c>
      <c r="G166" s="117">
        <v>-370</v>
      </c>
      <c r="H166" s="80"/>
      <c r="I166" s="80"/>
      <c r="J166" s="33"/>
    </row>
    <row r="167" spans="1:11" s="1" customFormat="1">
      <c r="A167" s="58" t="s">
        <v>137</v>
      </c>
      <c r="B167" s="100">
        <v>630</v>
      </c>
      <c r="C167" s="71"/>
      <c r="D167" s="101"/>
      <c r="E167" s="80">
        <f t="shared" si="20"/>
        <v>0</v>
      </c>
      <c r="F167" s="80"/>
      <c r="G167" s="80"/>
      <c r="H167" s="80"/>
      <c r="I167" s="80"/>
      <c r="J167" s="33"/>
    </row>
    <row r="168" spans="1:11">
      <c r="A168" s="113" t="s">
        <v>15</v>
      </c>
      <c r="B168" s="114">
        <v>700</v>
      </c>
      <c r="C168" s="115">
        <f>SUM(C35+C40+C41+C134+C146+C156)</f>
        <v>0</v>
      </c>
      <c r="D168" s="111">
        <f>SUM(D35+D40+D41+D44+D45+D46+D47+D48+D49+D50+D134+D146+D156+D161+D162)</f>
        <v>42787.6</v>
      </c>
      <c r="E168" s="112">
        <f t="shared" si="20"/>
        <v>49365.600000000006</v>
      </c>
      <c r="F168" s="112">
        <f>F35+F36+F37+F38+F39+F40+F41+F48+F49+F50+F134+F146+F156+F162+F161</f>
        <v>10020.400000000001</v>
      </c>
      <c r="G168" s="112">
        <f>G35+G36+G37+G38+G39+G40+G41+G48+G49+G50+G134+G146+G156+G162+G161</f>
        <v>12105.200000000003</v>
      </c>
      <c r="H168" s="112">
        <f>H35+H36+H37+H38+H39+H40+H41+H48+H49+H50+H134+H146+H156+H162+H161</f>
        <v>14459.1</v>
      </c>
      <c r="I168" s="112">
        <f>I35+I36+I37+I38+I39+I40+I41+I48+I49+I50+I134+I146+I156+I162+I161</f>
        <v>12780.9</v>
      </c>
      <c r="J168" s="33"/>
    </row>
    <row r="169" spans="1:11">
      <c r="A169" s="123" t="s">
        <v>25</v>
      </c>
      <c r="B169" s="124">
        <v>800</v>
      </c>
      <c r="C169" s="125">
        <f>C53+C57+C58+C79+C80+C81+C107+C108+C110+C148+C163</f>
        <v>0</v>
      </c>
      <c r="D169" s="116">
        <f>D52+D110+D163+D148</f>
        <v>-42589.299999999996</v>
      </c>
      <c r="E169" s="116">
        <f>SUM(F169:I169)</f>
        <v>-49282.749999999993</v>
      </c>
      <c r="F169" s="116">
        <f>F52+F110+F163+F148</f>
        <v>-10007.6</v>
      </c>
      <c r="G169" s="116">
        <f>G52+G110+G163+G148</f>
        <v>-12102.099999999999</v>
      </c>
      <c r="H169" s="116">
        <f>H52+H110+H163+H148</f>
        <v>-14392.2</v>
      </c>
      <c r="I169" s="116">
        <f>I52+I110+I163+I148</f>
        <v>-12780.85</v>
      </c>
      <c r="J169" s="33"/>
    </row>
    <row r="170" spans="1:11">
      <c r="A170" s="58" t="s">
        <v>78</v>
      </c>
      <c r="B170" s="92">
        <v>850</v>
      </c>
      <c r="C170" s="71"/>
      <c r="D170" s="80">
        <f>D168+D169</f>
        <v>198.30000000000291</v>
      </c>
      <c r="E170" s="80">
        <f t="shared" si="20"/>
        <v>82.850000000004002</v>
      </c>
      <c r="F170" s="80">
        <f>F168+F169</f>
        <v>12.800000000001091</v>
      </c>
      <c r="G170" s="80">
        <f>G168+G169</f>
        <v>3.1000000000040018</v>
      </c>
      <c r="H170" s="80">
        <f>H168+H169</f>
        <v>66.899999999999636</v>
      </c>
      <c r="I170" s="80">
        <f>I168+I169</f>
        <v>4.9999999999272404E-2</v>
      </c>
      <c r="J170" s="33">
        <v>264.25040000000081</v>
      </c>
      <c r="K170" s="9"/>
    </row>
    <row r="171" spans="1:11">
      <c r="A171" s="194" t="s">
        <v>79</v>
      </c>
      <c r="B171" s="195"/>
      <c r="C171" s="102"/>
      <c r="D171" s="103"/>
      <c r="E171" s="104"/>
      <c r="F171" s="104" t="s">
        <v>114</v>
      </c>
      <c r="G171" s="104" t="s">
        <v>117</v>
      </c>
      <c r="H171" s="104" t="s">
        <v>118</v>
      </c>
      <c r="I171" s="104" t="s">
        <v>119</v>
      </c>
      <c r="J171" s="50"/>
    </row>
    <row r="172" spans="1:11">
      <c r="A172" s="58" t="s">
        <v>92</v>
      </c>
      <c r="B172" s="92">
        <v>900</v>
      </c>
      <c r="C172" s="71"/>
      <c r="D172" s="101"/>
      <c r="E172" s="71"/>
      <c r="F172" s="105">
        <v>296</v>
      </c>
      <c r="G172" s="72">
        <v>281</v>
      </c>
      <c r="H172" s="80">
        <v>288.5</v>
      </c>
      <c r="I172" s="80">
        <v>291</v>
      </c>
      <c r="J172" s="51"/>
    </row>
    <row r="173" spans="1:11">
      <c r="A173" s="58" t="s">
        <v>96</v>
      </c>
      <c r="B173" s="92">
        <v>930</v>
      </c>
      <c r="C173" s="71"/>
      <c r="D173" s="101"/>
      <c r="E173" s="71"/>
      <c r="F173" s="71"/>
      <c r="G173" s="71"/>
      <c r="H173" s="71"/>
      <c r="I173" s="71"/>
      <c r="J173" s="51"/>
    </row>
    <row r="174" spans="1:11" ht="31.5" customHeight="1">
      <c r="A174" s="106" t="s">
        <v>139</v>
      </c>
      <c r="B174" s="107"/>
      <c r="C174" s="196" t="s">
        <v>38</v>
      </c>
      <c r="D174" s="196"/>
      <c r="E174" s="196"/>
      <c r="F174" s="108"/>
      <c r="G174" s="197" t="s">
        <v>303</v>
      </c>
      <c r="H174" s="197"/>
      <c r="I174" s="197"/>
      <c r="J174" s="51"/>
    </row>
    <row r="175" spans="1:11">
      <c r="A175" s="229" t="s">
        <v>301</v>
      </c>
      <c r="B175" s="52"/>
      <c r="C175" s="228"/>
      <c r="D175" s="228"/>
      <c r="E175" s="228"/>
      <c r="F175" s="53"/>
      <c r="G175" s="230" t="s">
        <v>302</v>
      </c>
      <c r="H175" s="230"/>
      <c r="I175" s="230"/>
      <c r="J175" s="51"/>
    </row>
    <row r="176" spans="1:11">
      <c r="A176" s="54"/>
      <c r="B176" s="55"/>
      <c r="C176" s="56"/>
      <c r="D176" s="57"/>
      <c r="E176" s="57"/>
      <c r="F176" s="57"/>
      <c r="G176" s="57"/>
      <c r="H176" s="57"/>
      <c r="I176" s="57"/>
      <c r="J176" s="52"/>
    </row>
    <row r="177" spans="1:9">
      <c r="A177" s="12"/>
      <c r="B177" s="13"/>
      <c r="C177" s="198"/>
      <c r="D177" s="198"/>
      <c r="E177" s="198"/>
      <c r="F177" s="14"/>
      <c r="G177" s="193"/>
      <c r="H177" s="193"/>
      <c r="I177" s="193"/>
    </row>
    <row r="178" spans="1:9" s="1" customFormat="1">
      <c r="A178" s="110"/>
      <c r="B178" s="2"/>
      <c r="C178" s="192"/>
      <c r="D178" s="192"/>
      <c r="E178" s="192"/>
      <c r="F178" s="15"/>
      <c r="G178" s="193"/>
      <c r="H178" s="193"/>
      <c r="I178" s="193"/>
    </row>
    <row r="179" spans="1:9">
      <c r="A179" s="17"/>
      <c r="C179" s="10"/>
      <c r="D179" s="11"/>
      <c r="E179" s="11"/>
      <c r="F179" s="11"/>
      <c r="G179" s="11"/>
      <c r="H179" s="11"/>
      <c r="I179" s="11"/>
    </row>
    <row r="180" spans="1:9">
      <c r="A180" s="17"/>
      <c r="C180" s="10"/>
      <c r="D180" s="11"/>
      <c r="E180" s="11"/>
      <c r="F180" s="11"/>
      <c r="G180" s="11"/>
      <c r="H180" s="11"/>
      <c r="I180" s="11"/>
    </row>
    <row r="181" spans="1:9">
      <c r="A181" s="17"/>
      <c r="C181" s="10"/>
      <c r="D181" s="11"/>
      <c r="E181" s="11"/>
      <c r="F181" s="11"/>
      <c r="G181" s="11"/>
      <c r="H181" s="11"/>
      <c r="I181" s="11"/>
    </row>
    <row r="182" spans="1:9">
      <c r="A182" s="17"/>
      <c r="C182" s="10"/>
      <c r="D182" s="11"/>
      <c r="E182" s="11"/>
      <c r="F182" s="11"/>
      <c r="G182" s="11"/>
      <c r="H182" s="11"/>
      <c r="I182" s="11"/>
    </row>
    <row r="183" spans="1:9">
      <c r="A183" s="17"/>
      <c r="C183" s="10"/>
      <c r="D183" s="11"/>
      <c r="E183" s="11"/>
      <c r="F183" s="11"/>
      <c r="G183" s="11"/>
      <c r="H183" s="11"/>
      <c r="I183" s="11"/>
    </row>
    <row r="184" spans="1:9">
      <c r="A184" s="17"/>
      <c r="C184" s="10"/>
      <c r="D184" s="11"/>
      <c r="E184" s="11"/>
      <c r="F184" s="11"/>
      <c r="G184" s="11"/>
      <c r="H184" s="11"/>
      <c r="I184" s="11"/>
    </row>
    <row r="185" spans="1:9">
      <c r="A185" s="17"/>
      <c r="C185" s="10"/>
      <c r="D185" s="11"/>
      <c r="E185" s="11"/>
      <c r="F185" s="11"/>
      <c r="G185" s="11"/>
      <c r="H185" s="11"/>
      <c r="I185" s="11"/>
    </row>
    <row r="186" spans="1:9">
      <c r="A186" s="17"/>
      <c r="C186" s="10"/>
      <c r="D186" s="11"/>
      <c r="E186" s="11"/>
      <c r="F186" s="11"/>
      <c r="G186" s="11"/>
      <c r="H186" s="11"/>
      <c r="I186" s="11"/>
    </row>
    <row r="187" spans="1:9">
      <c r="A187" s="17"/>
      <c r="C187" s="10"/>
      <c r="D187" s="11"/>
      <c r="E187" s="11"/>
      <c r="F187" s="11"/>
      <c r="G187" s="11"/>
      <c r="H187" s="11"/>
      <c r="I187" s="11"/>
    </row>
    <row r="188" spans="1:9">
      <c r="A188" s="17"/>
      <c r="C188" s="10"/>
      <c r="D188" s="11"/>
      <c r="E188" s="11"/>
      <c r="F188" s="11"/>
      <c r="G188" s="11"/>
      <c r="H188" s="11"/>
      <c r="I188" s="11"/>
    </row>
    <row r="189" spans="1:9">
      <c r="A189" s="17"/>
      <c r="C189" s="10"/>
      <c r="D189" s="11"/>
      <c r="E189" s="11"/>
      <c r="F189" s="11"/>
      <c r="G189" s="11"/>
      <c r="H189" s="11"/>
      <c r="I189" s="11"/>
    </row>
    <row r="190" spans="1:9">
      <c r="A190" s="17"/>
      <c r="C190" s="10"/>
      <c r="D190" s="11"/>
      <c r="E190" s="11"/>
      <c r="F190" s="11"/>
      <c r="G190" s="11"/>
      <c r="H190" s="11"/>
      <c r="I190" s="11"/>
    </row>
    <row r="191" spans="1:9">
      <c r="A191" s="17"/>
      <c r="C191" s="10"/>
      <c r="D191" s="11"/>
      <c r="E191" s="11"/>
      <c r="F191" s="11"/>
      <c r="G191" s="11"/>
      <c r="H191" s="11"/>
      <c r="I191" s="11"/>
    </row>
    <row r="192" spans="1:9">
      <c r="A192" s="17"/>
      <c r="C192" s="10"/>
      <c r="D192" s="11"/>
      <c r="E192" s="11"/>
      <c r="F192" s="11"/>
      <c r="G192" s="11"/>
      <c r="H192" s="11"/>
      <c r="I192" s="11"/>
    </row>
    <row r="193" spans="1:9">
      <c r="A193" s="17"/>
      <c r="C193" s="10"/>
      <c r="D193" s="11"/>
      <c r="E193" s="11"/>
      <c r="F193" s="11"/>
      <c r="G193" s="11"/>
      <c r="H193" s="11"/>
      <c r="I193" s="11"/>
    </row>
    <row r="194" spans="1:9">
      <c r="A194" s="17"/>
      <c r="C194" s="10"/>
      <c r="D194" s="11"/>
      <c r="E194" s="11"/>
      <c r="F194" s="11"/>
      <c r="G194" s="11"/>
      <c r="H194" s="11"/>
      <c r="I194" s="11"/>
    </row>
    <row r="195" spans="1:9">
      <c r="A195" s="17"/>
      <c r="C195" s="10"/>
      <c r="D195" s="11"/>
      <c r="E195" s="11"/>
      <c r="F195" s="11"/>
      <c r="G195" s="11"/>
      <c r="H195" s="11"/>
      <c r="I195" s="11"/>
    </row>
    <row r="196" spans="1:9">
      <c r="A196" s="17"/>
      <c r="C196" s="10"/>
      <c r="D196" s="11"/>
      <c r="E196" s="11"/>
      <c r="F196" s="11"/>
      <c r="G196" s="11"/>
      <c r="H196" s="11"/>
      <c r="I196" s="11"/>
    </row>
    <row r="197" spans="1:9">
      <c r="A197" s="17"/>
      <c r="C197" s="10"/>
      <c r="D197" s="11"/>
      <c r="E197" s="11"/>
      <c r="F197" s="11"/>
      <c r="G197" s="11"/>
      <c r="H197" s="11"/>
      <c r="I197" s="11"/>
    </row>
    <row r="198" spans="1:9">
      <c r="A198" s="17"/>
      <c r="C198" s="10"/>
      <c r="D198" s="11"/>
      <c r="E198" s="11"/>
      <c r="F198" s="11"/>
      <c r="G198" s="11"/>
      <c r="H198" s="11"/>
      <c r="I198" s="11"/>
    </row>
    <row r="199" spans="1:9">
      <c r="A199" s="17"/>
      <c r="C199" s="10"/>
      <c r="D199" s="11"/>
      <c r="E199" s="11"/>
      <c r="F199" s="11"/>
      <c r="G199" s="11"/>
      <c r="H199" s="11"/>
      <c r="I199" s="11"/>
    </row>
    <row r="200" spans="1:9">
      <c r="A200" s="17"/>
      <c r="C200" s="10"/>
      <c r="D200" s="11"/>
      <c r="E200" s="11"/>
      <c r="F200" s="11"/>
      <c r="G200" s="11"/>
      <c r="H200" s="11"/>
      <c r="I200" s="11"/>
    </row>
    <row r="201" spans="1:9">
      <c r="A201" s="17"/>
      <c r="C201" s="10"/>
      <c r="D201" s="11"/>
      <c r="E201" s="11"/>
      <c r="F201" s="11"/>
      <c r="G201" s="11"/>
      <c r="H201" s="11"/>
      <c r="I201" s="11"/>
    </row>
    <row r="202" spans="1:9">
      <c r="A202" s="17"/>
      <c r="C202" s="10"/>
      <c r="D202" s="11"/>
      <c r="E202" s="11"/>
      <c r="F202" s="11"/>
      <c r="G202" s="11"/>
      <c r="H202" s="11"/>
      <c r="I202" s="11"/>
    </row>
    <row r="203" spans="1:9">
      <c r="A203" s="17"/>
      <c r="C203" s="10"/>
      <c r="D203" s="11"/>
      <c r="E203" s="11"/>
      <c r="F203" s="11"/>
      <c r="G203" s="11"/>
      <c r="H203" s="11"/>
      <c r="I203" s="11"/>
    </row>
    <row r="204" spans="1:9">
      <c r="A204" s="17"/>
      <c r="C204" s="10"/>
      <c r="D204" s="11"/>
      <c r="E204" s="11"/>
      <c r="F204" s="11"/>
      <c r="G204" s="11"/>
      <c r="H204" s="11"/>
      <c r="I204" s="11"/>
    </row>
    <row r="205" spans="1:9">
      <c r="A205" s="17"/>
      <c r="C205" s="10"/>
      <c r="D205" s="11"/>
      <c r="E205" s="11"/>
      <c r="F205" s="11"/>
      <c r="G205" s="11"/>
      <c r="H205" s="11"/>
      <c r="I205" s="11"/>
    </row>
    <row r="206" spans="1:9">
      <c r="A206" s="17"/>
      <c r="C206" s="10"/>
      <c r="D206" s="11"/>
      <c r="E206" s="11"/>
      <c r="F206" s="11"/>
      <c r="G206" s="11"/>
      <c r="H206" s="11"/>
      <c r="I206" s="11"/>
    </row>
    <row r="207" spans="1:9">
      <c r="A207" s="17"/>
      <c r="C207" s="10"/>
      <c r="D207" s="11"/>
      <c r="E207" s="11"/>
      <c r="F207" s="11"/>
      <c r="G207" s="11"/>
      <c r="H207" s="11"/>
      <c r="I207" s="11"/>
    </row>
    <row r="208" spans="1:9">
      <c r="A208" s="17"/>
      <c r="C208" s="10"/>
      <c r="D208" s="11"/>
      <c r="E208" s="11"/>
      <c r="F208" s="11"/>
      <c r="G208" s="11"/>
      <c r="H208" s="11"/>
      <c r="I208" s="11"/>
    </row>
    <row r="209" spans="1:9">
      <c r="A209" s="17"/>
      <c r="C209" s="10"/>
      <c r="D209" s="11"/>
      <c r="E209" s="11"/>
      <c r="F209" s="11"/>
      <c r="G209" s="11"/>
      <c r="H209" s="11"/>
      <c r="I209" s="11"/>
    </row>
    <row r="210" spans="1:9">
      <c r="A210" s="17"/>
      <c r="C210" s="10"/>
      <c r="D210" s="11"/>
      <c r="E210" s="11"/>
      <c r="F210" s="11"/>
      <c r="G210" s="11"/>
      <c r="H210" s="11"/>
      <c r="I210" s="11"/>
    </row>
    <row r="211" spans="1:9">
      <c r="A211" s="17"/>
      <c r="C211" s="10"/>
      <c r="D211" s="11"/>
      <c r="E211" s="11"/>
      <c r="F211" s="11"/>
      <c r="G211" s="11"/>
      <c r="H211" s="11"/>
      <c r="I211" s="11"/>
    </row>
    <row r="212" spans="1:9">
      <c r="A212" s="17"/>
      <c r="C212" s="10"/>
      <c r="D212" s="11"/>
      <c r="E212" s="11"/>
      <c r="F212" s="11"/>
      <c r="G212" s="11"/>
      <c r="H212" s="11"/>
      <c r="I212" s="11"/>
    </row>
    <row r="213" spans="1:9">
      <c r="A213" s="17"/>
      <c r="C213" s="10"/>
      <c r="D213" s="11"/>
      <c r="E213" s="11"/>
      <c r="F213" s="11"/>
      <c r="G213" s="11"/>
      <c r="H213" s="11"/>
      <c r="I213" s="11"/>
    </row>
    <row r="214" spans="1:9">
      <c r="A214" s="17"/>
      <c r="C214" s="10"/>
      <c r="D214" s="11"/>
      <c r="E214" s="11"/>
      <c r="F214" s="11"/>
      <c r="G214" s="11"/>
      <c r="H214" s="11"/>
      <c r="I214" s="11"/>
    </row>
    <row r="215" spans="1:9">
      <c r="A215" s="17"/>
      <c r="C215" s="10"/>
      <c r="D215" s="11"/>
      <c r="E215" s="11"/>
      <c r="F215" s="11"/>
      <c r="G215" s="11"/>
      <c r="H215" s="11"/>
      <c r="I215" s="11"/>
    </row>
    <row r="216" spans="1:9">
      <c r="A216" s="17"/>
      <c r="C216" s="10"/>
      <c r="D216" s="11"/>
      <c r="E216" s="11"/>
      <c r="F216" s="11"/>
      <c r="G216" s="11"/>
      <c r="H216" s="11"/>
      <c r="I216" s="11"/>
    </row>
    <row r="217" spans="1:9">
      <c r="A217" s="17"/>
      <c r="C217" s="10"/>
      <c r="D217" s="11"/>
      <c r="E217" s="11"/>
      <c r="F217" s="11"/>
      <c r="G217" s="11"/>
      <c r="H217" s="11"/>
      <c r="I217" s="11"/>
    </row>
    <row r="218" spans="1:9">
      <c r="A218" s="17"/>
      <c r="C218" s="10"/>
      <c r="D218" s="11"/>
      <c r="E218" s="11"/>
      <c r="F218" s="11"/>
      <c r="G218" s="11"/>
      <c r="H218" s="11"/>
      <c r="I218" s="11"/>
    </row>
    <row r="219" spans="1:9">
      <c r="A219" s="16"/>
    </row>
    <row r="220" spans="1:9">
      <c r="A220" s="16"/>
    </row>
    <row r="221" spans="1:9">
      <c r="A221" s="16"/>
    </row>
    <row r="222" spans="1:9">
      <c r="A222" s="16"/>
      <c r="B222" s="2"/>
      <c r="C222" s="2"/>
      <c r="D222" s="2"/>
    </row>
    <row r="223" spans="1:9">
      <c r="A223" s="16"/>
      <c r="B223" s="2"/>
      <c r="C223" s="2"/>
      <c r="D223" s="2"/>
    </row>
    <row r="224" spans="1:9">
      <c r="A224" s="16"/>
      <c r="B224" s="2"/>
      <c r="C224" s="2"/>
      <c r="D224" s="2"/>
    </row>
    <row r="225" spans="1:4">
      <c r="A225" s="16"/>
      <c r="B225" s="2"/>
      <c r="C225" s="2"/>
      <c r="D225" s="2"/>
    </row>
    <row r="226" spans="1:4">
      <c r="A226" s="16"/>
      <c r="B226" s="2"/>
      <c r="C226" s="2"/>
      <c r="D226" s="2"/>
    </row>
    <row r="227" spans="1:4">
      <c r="A227" s="16"/>
      <c r="B227" s="2"/>
      <c r="C227" s="2"/>
      <c r="D227" s="2"/>
    </row>
    <row r="228" spans="1:4">
      <c r="A228" s="16"/>
      <c r="B228" s="2"/>
      <c r="C228" s="2"/>
      <c r="D228" s="2"/>
    </row>
    <row r="229" spans="1:4">
      <c r="A229" s="16"/>
      <c r="B229" s="2"/>
      <c r="C229" s="2"/>
      <c r="D229" s="2"/>
    </row>
    <row r="230" spans="1:4">
      <c r="A230" s="16"/>
      <c r="B230" s="2"/>
      <c r="C230" s="2"/>
      <c r="D230" s="2"/>
    </row>
    <row r="231" spans="1:4">
      <c r="A231" s="16"/>
      <c r="B231" s="2"/>
      <c r="C231" s="2"/>
      <c r="D231" s="2"/>
    </row>
    <row r="232" spans="1:4">
      <c r="A232" s="16"/>
      <c r="B232" s="2"/>
      <c r="C232" s="2"/>
      <c r="D232" s="2"/>
    </row>
    <row r="233" spans="1:4">
      <c r="A233" s="16"/>
      <c r="B233" s="2"/>
      <c r="C233" s="2"/>
      <c r="D233" s="2"/>
    </row>
    <row r="234" spans="1:4">
      <c r="A234" s="16"/>
      <c r="B234" s="2"/>
      <c r="C234" s="2"/>
      <c r="D234" s="2"/>
    </row>
    <row r="235" spans="1:4">
      <c r="A235" s="16"/>
      <c r="B235" s="2"/>
      <c r="C235" s="2"/>
      <c r="D235" s="2"/>
    </row>
    <row r="236" spans="1:4">
      <c r="A236" s="16"/>
      <c r="B236" s="2"/>
      <c r="C236" s="2"/>
      <c r="D236" s="2"/>
    </row>
    <row r="237" spans="1:4">
      <c r="A237" s="16"/>
      <c r="B237" s="2"/>
      <c r="C237" s="2"/>
      <c r="D237" s="2"/>
    </row>
    <row r="238" spans="1:4">
      <c r="A238" s="16"/>
      <c r="B238" s="2"/>
      <c r="C238" s="2"/>
      <c r="D238" s="2"/>
    </row>
    <row r="239" spans="1:4">
      <c r="A239" s="16"/>
      <c r="B239" s="2"/>
      <c r="C239" s="2"/>
      <c r="D239" s="2"/>
    </row>
    <row r="240" spans="1:4">
      <c r="A240" s="16"/>
      <c r="B240" s="2"/>
      <c r="C240" s="2"/>
      <c r="D240" s="2"/>
    </row>
    <row r="241" spans="1:4">
      <c r="A241" s="16"/>
      <c r="B241" s="2"/>
      <c r="C241" s="2"/>
      <c r="D241" s="2"/>
    </row>
    <row r="242" spans="1:4">
      <c r="A242" s="16"/>
      <c r="B242" s="2"/>
      <c r="C242" s="2"/>
      <c r="D242" s="2"/>
    </row>
    <row r="243" spans="1:4">
      <c r="A243" s="16"/>
      <c r="B243" s="2"/>
      <c r="C243" s="2"/>
      <c r="D243" s="2"/>
    </row>
    <row r="244" spans="1:4">
      <c r="A244" s="16"/>
      <c r="B244" s="2"/>
      <c r="C244" s="2"/>
      <c r="D244" s="2"/>
    </row>
    <row r="245" spans="1:4">
      <c r="A245" s="16"/>
      <c r="B245" s="2"/>
      <c r="C245" s="2"/>
      <c r="D245" s="2"/>
    </row>
    <row r="246" spans="1:4">
      <c r="A246" s="16"/>
      <c r="B246" s="2"/>
      <c r="C246" s="2"/>
      <c r="D246" s="2"/>
    </row>
    <row r="247" spans="1:4">
      <c r="A247" s="16"/>
      <c r="B247" s="2"/>
      <c r="C247" s="2"/>
      <c r="D247" s="2"/>
    </row>
    <row r="248" spans="1:4">
      <c r="A248" s="16"/>
      <c r="B248" s="2"/>
      <c r="C248" s="2"/>
      <c r="D248" s="2"/>
    </row>
    <row r="249" spans="1:4">
      <c r="A249" s="16"/>
      <c r="B249" s="2"/>
      <c r="C249" s="2"/>
      <c r="D249" s="2"/>
    </row>
    <row r="250" spans="1:4">
      <c r="A250" s="16"/>
      <c r="B250" s="2"/>
      <c r="C250" s="2"/>
      <c r="D250" s="2"/>
    </row>
    <row r="251" spans="1:4">
      <c r="A251" s="16"/>
      <c r="B251" s="2"/>
      <c r="C251" s="2"/>
      <c r="D251" s="2"/>
    </row>
    <row r="252" spans="1:4">
      <c r="A252" s="16"/>
      <c r="B252" s="2"/>
      <c r="C252" s="2"/>
      <c r="D252" s="2"/>
    </row>
    <row r="253" spans="1:4">
      <c r="A253" s="16"/>
      <c r="B253" s="2"/>
      <c r="C253" s="2"/>
      <c r="D253" s="2"/>
    </row>
    <row r="254" spans="1:4">
      <c r="A254" s="16"/>
      <c r="B254" s="2"/>
      <c r="C254" s="2"/>
      <c r="D254" s="2"/>
    </row>
    <row r="255" spans="1:4">
      <c r="A255" s="16"/>
      <c r="B255" s="2"/>
      <c r="C255" s="2"/>
      <c r="D255" s="2"/>
    </row>
    <row r="256" spans="1:4">
      <c r="A256" s="16"/>
      <c r="B256" s="2"/>
      <c r="C256" s="2"/>
      <c r="D256" s="2"/>
    </row>
    <row r="257" spans="1:4">
      <c r="A257" s="16"/>
      <c r="B257" s="2"/>
      <c r="C257" s="2"/>
      <c r="D257" s="2"/>
    </row>
    <row r="258" spans="1:4">
      <c r="A258" s="16"/>
      <c r="B258" s="2"/>
      <c r="C258" s="2"/>
      <c r="D258" s="2"/>
    </row>
    <row r="259" spans="1:4">
      <c r="A259" s="16"/>
      <c r="B259" s="2"/>
      <c r="C259" s="2"/>
      <c r="D259" s="2"/>
    </row>
    <row r="260" spans="1:4">
      <c r="A260" s="16"/>
      <c r="B260" s="2"/>
      <c r="C260" s="2"/>
      <c r="D260" s="2"/>
    </row>
    <row r="261" spans="1:4">
      <c r="A261" s="16"/>
      <c r="B261" s="2"/>
      <c r="C261" s="2"/>
      <c r="D261" s="2"/>
    </row>
    <row r="262" spans="1:4">
      <c r="A262" s="16"/>
      <c r="B262" s="2"/>
      <c r="C262" s="2"/>
      <c r="D262" s="2"/>
    </row>
    <row r="263" spans="1:4">
      <c r="A263" s="16"/>
      <c r="B263" s="2"/>
      <c r="C263" s="2"/>
      <c r="D263" s="2"/>
    </row>
    <row r="264" spans="1:4">
      <c r="A264" s="16"/>
      <c r="B264" s="2"/>
      <c r="C264" s="2"/>
      <c r="D264" s="2"/>
    </row>
    <row r="265" spans="1:4">
      <c r="A265" s="16"/>
      <c r="B265" s="2"/>
      <c r="C265" s="2"/>
      <c r="D265" s="2"/>
    </row>
    <row r="266" spans="1:4">
      <c r="A266" s="16"/>
      <c r="B266" s="2"/>
      <c r="C266" s="2"/>
      <c r="D266" s="2"/>
    </row>
    <row r="267" spans="1:4">
      <c r="A267" s="16"/>
      <c r="B267" s="2"/>
      <c r="C267" s="2"/>
      <c r="D267" s="2"/>
    </row>
    <row r="268" spans="1:4">
      <c r="A268" s="16"/>
      <c r="B268" s="2"/>
      <c r="C268" s="2"/>
      <c r="D268" s="2"/>
    </row>
    <row r="269" spans="1:4">
      <c r="A269" s="16"/>
      <c r="B269" s="2"/>
      <c r="C269" s="2"/>
      <c r="D269" s="2"/>
    </row>
    <row r="270" spans="1:4">
      <c r="A270" s="16"/>
      <c r="B270" s="2"/>
      <c r="C270" s="2"/>
      <c r="D270" s="2"/>
    </row>
    <row r="271" spans="1:4">
      <c r="A271" s="16"/>
      <c r="B271" s="2"/>
      <c r="C271" s="2"/>
      <c r="D271" s="2"/>
    </row>
    <row r="272" spans="1:4">
      <c r="A272" s="16"/>
      <c r="B272" s="2"/>
      <c r="C272" s="2"/>
      <c r="D272" s="2"/>
    </row>
    <row r="273" spans="1:4">
      <c r="A273" s="16"/>
      <c r="B273" s="2"/>
      <c r="C273" s="2"/>
      <c r="D273" s="2"/>
    </row>
    <row r="274" spans="1:4">
      <c r="A274" s="16"/>
      <c r="B274" s="2"/>
      <c r="C274" s="2"/>
      <c r="D274" s="2"/>
    </row>
    <row r="275" spans="1:4">
      <c r="A275" s="16"/>
      <c r="B275" s="2"/>
      <c r="C275" s="2"/>
      <c r="D275" s="2"/>
    </row>
    <row r="276" spans="1:4">
      <c r="A276" s="16"/>
      <c r="B276" s="2"/>
      <c r="C276" s="2"/>
      <c r="D276" s="2"/>
    </row>
    <row r="277" spans="1:4">
      <c r="A277" s="16"/>
      <c r="B277" s="2"/>
      <c r="C277" s="2"/>
      <c r="D277" s="2"/>
    </row>
    <row r="278" spans="1:4">
      <c r="A278" s="16"/>
      <c r="B278" s="2"/>
      <c r="C278" s="2"/>
      <c r="D278" s="2"/>
    </row>
    <row r="279" spans="1:4">
      <c r="A279" s="16"/>
      <c r="B279" s="2"/>
      <c r="C279" s="2"/>
      <c r="D279" s="2"/>
    </row>
    <row r="280" spans="1:4">
      <c r="A280" s="16"/>
      <c r="B280" s="2"/>
      <c r="C280" s="2"/>
      <c r="D280" s="2"/>
    </row>
    <row r="281" spans="1:4">
      <c r="A281" s="16"/>
      <c r="B281" s="2"/>
      <c r="C281" s="2"/>
      <c r="D281" s="2"/>
    </row>
    <row r="282" spans="1:4">
      <c r="A282" s="16"/>
      <c r="B282" s="2"/>
      <c r="C282" s="2"/>
      <c r="D282" s="2"/>
    </row>
    <row r="283" spans="1:4">
      <c r="A283" s="16"/>
      <c r="B283" s="2"/>
      <c r="C283" s="2"/>
      <c r="D283" s="2"/>
    </row>
    <row r="284" spans="1:4">
      <c r="A284" s="16"/>
      <c r="B284" s="2"/>
      <c r="C284" s="2"/>
      <c r="D284" s="2"/>
    </row>
    <row r="285" spans="1:4">
      <c r="A285" s="16"/>
      <c r="B285" s="2"/>
      <c r="C285" s="2"/>
      <c r="D285" s="2"/>
    </row>
    <row r="286" spans="1:4">
      <c r="A286" s="16"/>
      <c r="B286" s="2"/>
      <c r="C286" s="2"/>
      <c r="D286" s="2"/>
    </row>
    <row r="287" spans="1:4">
      <c r="A287" s="16"/>
      <c r="B287" s="2"/>
      <c r="C287" s="2"/>
      <c r="D287" s="2"/>
    </row>
    <row r="288" spans="1:4">
      <c r="A288" s="16"/>
      <c r="B288" s="2"/>
      <c r="C288" s="2"/>
      <c r="D288" s="2"/>
    </row>
    <row r="289" spans="1:4">
      <c r="A289" s="16"/>
      <c r="B289" s="2"/>
      <c r="C289" s="2"/>
      <c r="D289" s="2"/>
    </row>
    <row r="290" spans="1:4">
      <c r="A290" s="16"/>
      <c r="B290" s="2"/>
      <c r="C290" s="2"/>
      <c r="D290" s="2"/>
    </row>
    <row r="291" spans="1:4">
      <c r="A291" s="16"/>
      <c r="B291" s="2"/>
      <c r="C291" s="2"/>
      <c r="D291" s="2"/>
    </row>
    <row r="292" spans="1:4">
      <c r="A292" s="16"/>
      <c r="B292" s="2"/>
      <c r="C292" s="2"/>
      <c r="D292" s="2"/>
    </row>
    <row r="293" spans="1:4">
      <c r="A293" s="16"/>
      <c r="B293" s="2"/>
      <c r="C293" s="2"/>
      <c r="D293" s="2"/>
    </row>
    <row r="294" spans="1:4">
      <c r="A294" s="16"/>
      <c r="B294" s="2"/>
      <c r="C294" s="2"/>
      <c r="D294" s="2"/>
    </row>
    <row r="295" spans="1:4">
      <c r="A295" s="16"/>
      <c r="B295" s="2"/>
      <c r="C295" s="2"/>
      <c r="D295" s="2"/>
    </row>
    <row r="296" spans="1:4">
      <c r="A296" s="16"/>
      <c r="B296" s="2"/>
      <c r="C296" s="2"/>
      <c r="D296" s="2"/>
    </row>
    <row r="297" spans="1:4">
      <c r="A297" s="16"/>
      <c r="B297" s="2"/>
      <c r="C297" s="2"/>
      <c r="D297" s="2"/>
    </row>
    <row r="298" spans="1:4">
      <c r="A298" s="16"/>
      <c r="B298" s="2"/>
      <c r="C298" s="2"/>
      <c r="D298" s="2"/>
    </row>
    <row r="299" spans="1:4">
      <c r="A299" s="16"/>
      <c r="B299" s="2"/>
      <c r="C299" s="2"/>
      <c r="D299" s="2"/>
    </row>
    <row r="300" spans="1:4">
      <c r="A300" s="16"/>
      <c r="B300" s="2"/>
      <c r="C300" s="2"/>
      <c r="D300" s="2"/>
    </row>
    <row r="301" spans="1:4">
      <c r="A301" s="16"/>
      <c r="B301" s="2"/>
      <c r="C301" s="2"/>
      <c r="D301" s="2"/>
    </row>
    <row r="302" spans="1:4">
      <c r="A302" s="16"/>
      <c r="B302" s="2"/>
      <c r="C302" s="2"/>
      <c r="D302" s="2"/>
    </row>
    <row r="303" spans="1:4">
      <c r="A303" s="16"/>
      <c r="B303" s="2"/>
      <c r="C303" s="2"/>
      <c r="D303" s="2"/>
    </row>
    <row r="304" spans="1:4">
      <c r="A304" s="16"/>
      <c r="B304" s="2"/>
      <c r="C304" s="2"/>
      <c r="D304" s="2"/>
    </row>
    <row r="305" spans="1:4">
      <c r="A305" s="16"/>
      <c r="B305" s="2"/>
      <c r="C305" s="2"/>
      <c r="D305" s="2"/>
    </row>
    <row r="306" spans="1:4">
      <c r="A306" s="16"/>
      <c r="B306" s="2"/>
      <c r="C306" s="2"/>
      <c r="D306" s="2"/>
    </row>
    <row r="307" spans="1:4">
      <c r="A307" s="16"/>
      <c r="B307" s="2"/>
      <c r="C307" s="2"/>
      <c r="D307" s="2"/>
    </row>
    <row r="308" spans="1:4">
      <c r="A308" s="16"/>
      <c r="B308" s="2"/>
      <c r="C308" s="2"/>
      <c r="D308" s="2"/>
    </row>
    <row r="309" spans="1:4">
      <c r="A309" s="16"/>
      <c r="B309" s="2"/>
      <c r="C309" s="2"/>
      <c r="D309" s="2"/>
    </row>
    <row r="310" spans="1:4">
      <c r="A310" s="16"/>
      <c r="B310" s="2"/>
      <c r="C310" s="2"/>
      <c r="D310" s="2"/>
    </row>
    <row r="311" spans="1:4">
      <c r="A311" s="16"/>
      <c r="B311" s="2"/>
      <c r="C311" s="2"/>
      <c r="D311" s="2"/>
    </row>
    <row r="312" spans="1:4">
      <c r="A312" s="16"/>
      <c r="B312" s="2"/>
      <c r="C312" s="2"/>
      <c r="D312" s="2"/>
    </row>
    <row r="313" spans="1:4">
      <c r="A313" s="16"/>
      <c r="B313" s="2"/>
      <c r="C313" s="2"/>
      <c r="D313" s="2"/>
    </row>
    <row r="314" spans="1:4">
      <c r="A314" s="16"/>
      <c r="B314" s="2"/>
      <c r="C314" s="2"/>
      <c r="D314" s="2"/>
    </row>
    <row r="315" spans="1:4">
      <c r="A315" s="16"/>
      <c r="B315" s="2"/>
      <c r="C315" s="2"/>
      <c r="D315" s="2"/>
    </row>
    <row r="316" spans="1:4">
      <c r="A316" s="16"/>
      <c r="B316" s="2"/>
      <c r="C316" s="2"/>
      <c r="D316" s="2"/>
    </row>
    <row r="317" spans="1:4">
      <c r="A317" s="16"/>
      <c r="B317" s="2"/>
      <c r="C317" s="2"/>
      <c r="D317" s="2"/>
    </row>
    <row r="318" spans="1:4">
      <c r="A318" s="16"/>
      <c r="B318" s="2"/>
      <c r="C318" s="2"/>
      <c r="D318" s="2"/>
    </row>
    <row r="319" spans="1:4">
      <c r="A319" s="16"/>
      <c r="B319" s="2"/>
      <c r="C319" s="2"/>
      <c r="D319" s="2"/>
    </row>
    <row r="320" spans="1:4">
      <c r="A320" s="16"/>
      <c r="B320" s="2"/>
      <c r="C320" s="2"/>
      <c r="D320" s="2"/>
    </row>
    <row r="321" spans="1:4">
      <c r="A321" s="16"/>
      <c r="B321" s="2"/>
      <c r="C321" s="2"/>
      <c r="D321" s="2"/>
    </row>
    <row r="322" spans="1:4">
      <c r="A322" s="16"/>
      <c r="B322" s="2"/>
      <c r="C322" s="2"/>
      <c r="D322" s="2"/>
    </row>
    <row r="323" spans="1:4">
      <c r="A323" s="16"/>
      <c r="B323" s="2"/>
      <c r="C323" s="2"/>
      <c r="D323" s="2"/>
    </row>
    <row r="324" spans="1:4">
      <c r="A324" s="16"/>
      <c r="B324" s="2"/>
      <c r="C324" s="2"/>
      <c r="D324" s="2"/>
    </row>
    <row r="325" spans="1:4">
      <c r="A325" s="16"/>
      <c r="B325" s="2"/>
      <c r="C325" s="2"/>
      <c r="D325" s="2"/>
    </row>
    <row r="326" spans="1:4">
      <c r="A326" s="16"/>
      <c r="B326" s="2"/>
      <c r="C326" s="2"/>
      <c r="D326" s="2"/>
    </row>
    <row r="327" spans="1:4">
      <c r="A327" s="16"/>
      <c r="B327" s="2"/>
      <c r="C327" s="2"/>
      <c r="D327" s="2"/>
    </row>
    <row r="328" spans="1:4">
      <c r="A328" s="16"/>
      <c r="B328" s="2"/>
      <c r="C328" s="2"/>
      <c r="D328" s="2"/>
    </row>
    <row r="329" spans="1:4">
      <c r="A329" s="16"/>
      <c r="B329" s="2"/>
      <c r="C329" s="2"/>
      <c r="D329" s="2"/>
    </row>
    <row r="330" spans="1:4">
      <c r="A330" s="16"/>
      <c r="B330" s="2"/>
      <c r="C330" s="2"/>
      <c r="D330" s="2"/>
    </row>
    <row r="331" spans="1:4">
      <c r="A331" s="16"/>
      <c r="B331" s="2"/>
      <c r="C331" s="2"/>
      <c r="D331" s="2"/>
    </row>
    <row r="332" spans="1:4">
      <c r="A332" s="16"/>
      <c r="B332" s="2"/>
      <c r="C332" s="2"/>
      <c r="D332" s="2"/>
    </row>
    <row r="333" spans="1:4">
      <c r="A333" s="16"/>
      <c r="B333" s="2"/>
      <c r="C333" s="2"/>
      <c r="D333" s="2"/>
    </row>
    <row r="334" spans="1:4">
      <c r="A334" s="16"/>
      <c r="B334" s="2"/>
      <c r="C334" s="2"/>
      <c r="D334" s="2"/>
    </row>
    <row r="335" spans="1:4">
      <c r="A335" s="16"/>
      <c r="B335" s="2"/>
      <c r="C335" s="2"/>
      <c r="D335" s="2"/>
    </row>
    <row r="336" spans="1:4">
      <c r="A336" s="16"/>
      <c r="B336" s="2"/>
      <c r="C336" s="2"/>
      <c r="D336" s="2"/>
    </row>
    <row r="337" spans="1:4">
      <c r="A337" s="16"/>
      <c r="B337" s="2"/>
      <c r="C337" s="2"/>
      <c r="D337" s="2"/>
    </row>
    <row r="338" spans="1:4">
      <c r="A338" s="16"/>
      <c r="B338" s="2"/>
      <c r="C338" s="2"/>
      <c r="D338" s="2"/>
    </row>
    <row r="339" spans="1:4">
      <c r="A339" s="16"/>
      <c r="B339" s="2"/>
      <c r="C339" s="2"/>
      <c r="D339" s="2"/>
    </row>
    <row r="340" spans="1:4">
      <c r="A340" s="16"/>
      <c r="B340" s="2"/>
      <c r="C340" s="2"/>
      <c r="D340" s="2"/>
    </row>
    <row r="341" spans="1:4">
      <c r="A341" s="16"/>
      <c r="B341" s="2"/>
      <c r="C341" s="2"/>
      <c r="D341" s="2"/>
    </row>
    <row r="342" spans="1:4">
      <c r="A342" s="16"/>
      <c r="B342" s="2"/>
      <c r="C342" s="2"/>
      <c r="D342" s="2"/>
    </row>
    <row r="343" spans="1:4">
      <c r="A343" s="16"/>
      <c r="B343" s="2"/>
      <c r="C343" s="2"/>
      <c r="D343" s="2"/>
    </row>
    <row r="344" spans="1:4">
      <c r="A344" s="16"/>
      <c r="B344" s="2"/>
      <c r="C344" s="2"/>
      <c r="D344" s="2"/>
    </row>
    <row r="345" spans="1:4">
      <c r="A345" s="16"/>
      <c r="B345" s="2"/>
      <c r="C345" s="2"/>
      <c r="D345" s="2"/>
    </row>
    <row r="346" spans="1:4">
      <c r="A346" s="16"/>
      <c r="B346" s="2"/>
      <c r="C346" s="2"/>
      <c r="D346" s="2"/>
    </row>
    <row r="347" spans="1:4">
      <c r="A347" s="16"/>
      <c r="B347" s="2"/>
      <c r="C347" s="2"/>
      <c r="D347" s="2"/>
    </row>
    <row r="348" spans="1:4">
      <c r="A348" s="16"/>
      <c r="B348" s="2"/>
      <c r="C348" s="2"/>
      <c r="D348" s="2"/>
    </row>
    <row r="349" spans="1:4">
      <c r="A349" s="16"/>
      <c r="B349" s="2"/>
      <c r="C349" s="2"/>
      <c r="D349" s="2"/>
    </row>
    <row r="350" spans="1:4">
      <c r="A350" s="16"/>
      <c r="B350" s="2"/>
      <c r="C350" s="2"/>
      <c r="D350" s="2"/>
    </row>
    <row r="351" spans="1:4">
      <c r="A351" s="16"/>
      <c r="B351" s="2"/>
      <c r="C351" s="2"/>
      <c r="D351" s="2"/>
    </row>
    <row r="352" spans="1:4">
      <c r="A352" s="16"/>
      <c r="B352" s="2"/>
      <c r="C352" s="2"/>
      <c r="D352" s="2"/>
    </row>
    <row r="353" spans="1:4">
      <c r="A353" s="16"/>
      <c r="B353" s="2"/>
      <c r="C353" s="2"/>
      <c r="D353" s="2"/>
    </row>
    <row r="354" spans="1:4">
      <c r="A354" s="16"/>
      <c r="B354" s="2"/>
      <c r="C354" s="2"/>
      <c r="D354" s="2"/>
    </row>
    <row r="355" spans="1:4">
      <c r="A355" s="16"/>
      <c r="B355" s="2"/>
      <c r="C355" s="2"/>
      <c r="D355" s="2"/>
    </row>
    <row r="356" spans="1:4">
      <c r="A356" s="16"/>
      <c r="B356" s="2"/>
      <c r="C356" s="2"/>
      <c r="D356" s="2"/>
    </row>
    <row r="357" spans="1:4">
      <c r="A357" s="16"/>
      <c r="B357" s="2"/>
      <c r="C357" s="2"/>
      <c r="D357" s="2"/>
    </row>
    <row r="358" spans="1:4">
      <c r="A358" s="16"/>
      <c r="B358" s="2"/>
      <c r="C358" s="2"/>
      <c r="D358" s="2"/>
    </row>
    <row r="359" spans="1:4">
      <c r="A359" s="16"/>
      <c r="B359" s="2"/>
      <c r="C359" s="2"/>
      <c r="D359" s="2"/>
    </row>
    <row r="360" spans="1:4">
      <c r="A360" s="16"/>
      <c r="B360" s="2"/>
      <c r="C360" s="2"/>
      <c r="D360" s="2"/>
    </row>
    <row r="361" spans="1:4">
      <c r="A361" s="16"/>
      <c r="B361" s="2"/>
      <c r="C361" s="2"/>
      <c r="D361" s="2"/>
    </row>
    <row r="362" spans="1:4">
      <c r="A362" s="16"/>
      <c r="B362" s="2"/>
      <c r="C362" s="2"/>
      <c r="D362" s="2"/>
    </row>
    <row r="363" spans="1:4">
      <c r="A363" s="16"/>
      <c r="B363" s="2"/>
      <c r="C363" s="2"/>
      <c r="D363" s="2"/>
    </row>
    <row r="364" spans="1:4">
      <c r="A364" s="16"/>
      <c r="B364" s="2"/>
      <c r="C364" s="2"/>
      <c r="D364" s="2"/>
    </row>
    <row r="365" spans="1:4">
      <c r="A365" s="16"/>
      <c r="B365" s="2"/>
      <c r="C365" s="2"/>
      <c r="D365" s="2"/>
    </row>
    <row r="366" spans="1:4">
      <c r="A366" s="16"/>
      <c r="B366" s="2"/>
      <c r="C366" s="2"/>
      <c r="D366" s="2"/>
    </row>
    <row r="367" spans="1:4">
      <c r="A367" s="16"/>
      <c r="B367" s="2"/>
      <c r="C367" s="2"/>
      <c r="D367" s="2"/>
    </row>
    <row r="368" spans="1:4">
      <c r="A368" s="16"/>
      <c r="B368" s="2"/>
      <c r="C368" s="2"/>
      <c r="D368" s="2"/>
    </row>
    <row r="369" spans="1:4">
      <c r="A369" s="16"/>
      <c r="B369" s="2"/>
      <c r="C369" s="2"/>
      <c r="D369" s="2"/>
    </row>
    <row r="370" spans="1:4">
      <c r="A370" s="16"/>
      <c r="B370" s="2"/>
      <c r="C370" s="2"/>
      <c r="D370" s="2"/>
    </row>
    <row r="371" spans="1:4">
      <c r="A371" s="16"/>
      <c r="B371" s="2"/>
      <c r="C371" s="2"/>
      <c r="D371" s="2"/>
    </row>
    <row r="372" spans="1:4">
      <c r="A372" s="16"/>
      <c r="B372" s="2"/>
      <c r="C372" s="2"/>
      <c r="D372" s="2"/>
    </row>
    <row r="373" spans="1:4">
      <c r="A373" s="16"/>
      <c r="B373" s="2"/>
      <c r="C373" s="2"/>
      <c r="D373" s="2"/>
    </row>
    <row r="374" spans="1:4">
      <c r="A374" s="16"/>
      <c r="B374" s="2"/>
      <c r="C374" s="2"/>
      <c r="D374" s="2"/>
    </row>
    <row r="375" spans="1:4">
      <c r="A375" s="16"/>
      <c r="B375" s="2"/>
      <c r="C375" s="2"/>
      <c r="D375" s="2"/>
    </row>
    <row r="376" spans="1:4">
      <c r="A376" s="16"/>
      <c r="B376" s="2"/>
      <c r="C376" s="2"/>
      <c r="D376" s="2"/>
    </row>
    <row r="377" spans="1:4">
      <c r="A377" s="16"/>
      <c r="B377" s="2"/>
      <c r="C377" s="2"/>
      <c r="D377" s="2"/>
    </row>
    <row r="378" spans="1:4">
      <c r="A378" s="16"/>
      <c r="B378" s="2"/>
      <c r="C378" s="2"/>
      <c r="D378" s="2"/>
    </row>
    <row r="379" spans="1:4">
      <c r="A379" s="16"/>
      <c r="B379" s="2"/>
      <c r="C379" s="2"/>
      <c r="D379" s="2"/>
    </row>
    <row r="380" spans="1:4">
      <c r="A380" s="16"/>
      <c r="B380" s="2"/>
      <c r="C380" s="2"/>
      <c r="D380" s="2"/>
    </row>
    <row r="381" spans="1:4">
      <c r="A381" s="16"/>
      <c r="B381" s="2"/>
      <c r="C381" s="2"/>
      <c r="D381" s="2"/>
    </row>
    <row r="382" spans="1:4">
      <c r="A382" s="16"/>
      <c r="B382" s="2"/>
      <c r="C382" s="2"/>
      <c r="D382" s="2"/>
    </row>
    <row r="383" spans="1:4">
      <c r="A383" s="16"/>
      <c r="B383" s="2"/>
      <c r="C383" s="2"/>
      <c r="D383" s="2"/>
    </row>
    <row r="384" spans="1:4">
      <c r="A384" s="16"/>
      <c r="B384" s="2"/>
      <c r="C384" s="2"/>
      <c r="D384" s="2"/>
    </row>
    <row r="385" spans="1:4">
      <c r="A385" s="16"/>
      <c r="B385" s="2"/>
      <c r="C385" s="2"/>
      <c r="D385" s="2"/>
    </row>
  </sheetData>
  <mergeCells count="42">
    <mergeCell ref="B15:G15"/>
    <mergeCell ref="F2:I2"/>
    <mergeCell ref="H5:I5"/>
    <mergeCell ref="H11:I11"/>
    <mergeCell ref="B14:E14"/>
    <mergeCell ref="H14:I14"/>
    <mergeCell ref="B25:E25"/>
    <mergeCell ref="B16:E16"/>
    <mergeCell ref="B17:E17"/>
    <mergeCell ref="B18:E18"/>
    <mergeCell ref="B19:E19"/>
    <mergeCell ref="B20:E20"/>
    <mergeCell ref="B21:E21"/>
    <mergeCell ref="F21:H21"/>
    <mergeCell ref="B22:E22"/>
    <mergeCell ref="F22:H22"/>
    <mergeCell ref="B23:E23"/>
    <mergeCell ref="B24:F24"/>
    <mergeCell ref="A155:I155"/>
    <mergeCell ref="B26:E26"/>
    <mergeCell ref="A28:I28"/>
    <mergeCell ref="C29:D29"/>
    <mergeCell ref="A30:A31"/>
    <mergeCell ref="B30:B31"/>
    <mergeCell ref="C30:C31"/>
    <mergeCell ref="D30:D31"/>
    <mergeCell ref="E30:E31"/>
    <mergeCell ref="F30:I30"/>
    <mergeCell ref="J30:J31"/>
    <mergeCell ref="A33:I33"/>
    <mergeCell ref="A34:J34"/>
    <mergeCell ref="A138:I138"/>
    <mergeCell ref="A145:I145"/>
    <mergeCell ref="C178:E178"/>
    <mergeCell ref="G178:I178"/>
    <mergeCell ref="A171:B171"/>
    <mergeCell ref="C174:E174"/>
    <mergeCell ref="G174:I174"/>
    <mergeCell ref="C175:E175"/>
    <mergeCell ref="G175:I175"/>
    <mergeCell ref="C177:E177"/>
    <mergeCell ref="G177:I17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2"/>
  <sheetViews>
    <sheetView workbookViewId="0">
      <selection activeCell="K9" sqref="K9"/>
    </sheetView>
  </sheetViews>
  <sheetFormatPr defaultRowHeight="12.75"/>
  <cols>
    <col min="1" max="1" width="27.85546875" customWidth="1"/>
    <col min="2" max="2" width="5.85546875" style="173" customWidth="1"/>
    <col min="3" max="3" width="11.28515625" style="135" customWidth="1"/>
    <col min="4" max="5" width="10.7109375" customWidth="1"/>
    <col min="6" max="6" width="10.85546875" customWidth="1"/>
    <col min="7" max="7" width="10.5703125" customWidth="1"/>
    <col min="8" max="8" width="10.42578125" customWidth="1"/>
  </cols>
  <sheetData>
    <row r="1" spans="1:8" ht="15">
      <c r="A1" s="222" t="s">
        <v>297</v>
      </c>
      <c r="B1" s="222"/>
      <c r="C1" s="222"/>
      <c r="D1" s="222"/>
      <c r="E1" s="222"/>
      <c r="F1" s="222"/>
      <c r="G1" s="222"/>
    </row>
    <row r="2" spans="1:8" ht="15.75">
      <c r="A2" s="223" t="s">
        <v>174</v>
      </c>
      <c r="B2" s="223"/>
      <c r="C2" s="223"/>
      <c r="D2" s="223"/>
      <c r="E2" s="223"/>
      <c r="F2" s="223"/>
      <c r="G2" s="223"/>
    </row>
    <row r="3" spans="1:8" ht="15.75">
      <c r="A3" s="127"/>
      <c r="B3" s="127"/>
      <c r="C3" s="127"/>
      <c r="D3" s="127"/>
      <c r="E3" s="127"/>
      <c r="F3" s="127"/>
      <c r="G3" s="127"/>
    </row>
    <row r="4" spans="1:8" ht="15.75">
      <c r="A4" s="127"/>
      <c r="B4" s="127"/>
      <c r="C4" s="127"/>
      <c r="D4" s="127"/>
      <c r="E4" s="127"/>
      <c r="F4" s="127"/>
      <c r="G4" s="127" t="s">
        <v>175</v>
      </c>
    </row>
    <row r="5" spans="1:8">
      <c r="A5" s="128" t="s">
        <v>176</v>
      </c>
      <c r="B5" s="129" t="s">
        <v>177</v>
      </c>
      <c r="C5" s="130" t="s">
        <v>178</v>
      </c>
      <c r="D5" s="131" t="s">
        <v>179</v>
      </c>
      <c r="E5" s="131" t="s">
        <v>180</v>
      </c>
      <c r="F5" s="131" t="s">
        <v>181</v>
      </c>
      <c r="G5" s="131" t="s">
        <v>182</v>
      </c>
    </row>
    <row r="6" spans="1:8">
      <c r="A6" s="132" t="s">
        <v>183</v>
      </c>
      <c r="B6" s="129"/>
      <c r="C6" s="133">
        <f>D6+E6+F6+G6</f>
        <v>23835504</v>
      </c>
      <c r="D6" s="134">
        <f>6001100+93500-60000</f>
        <v>6034600</v>
      </c>
      <c r="E6" s="134">
        <v>5877900</v>
      </c>
      <c r="F6" s="134">
        <v>5974704</v>
      </c>
      <c r="G6" s="134">
        <v>5948300</v>
      </c>
      <c r="H6" s="135"/>
    </row>
    <row r="7" spans="1:8">
      <c r="A7" s="132" t="s">
        <v>184</v>
      </c>
      <c r="B7" s="129"/>
      <c r="C7" s="133">
        <f t="shared" ref="C7:C19" si="0">D7+E7+F7+G7</f>
        <v>1375700</v>
      </c>
      <c r="D7" s="134">
        <v>0</v>
      </c>
      <c r="E7" s="134">
        <v>87000</v>
      </c>
      <c r="F7" s="134">
        <f>107100+750000</f>
        <v>857100</v>
      </c>
      <c r="G7" s="134">
        <v>431600</v>
      </c>
      <c r="H7" s="135"/>
    </row>
    <row r="8" spans="1:8">
      <c r="A8" s="132" t="s">
        <v>185</v>
      </c>
      <c r="B8" s="129"/>
      <c r="C8" s="133">
        <f t="shared" si="0"/>
        <v>504900</v>
      </c>
      <c r="D8" s="134"/>
      <c r="E8" s="134">
        <v>168300</v>
      </c>
      <c r="F8" s="134">
        <v>168300</v>
      </c>
      <c r="G8" s="134">
        <v>168300</v>
      </c>
      <c r="H8" s="135"/>
    </row>
    <row r="9" spans="1:8">
      <c r="A9" s="132" t="s">
        <v>186</v>
      </c>
      <c r="B9" s="129"/>
      <c r="C9" s="133">
        <f t="shared" si="0"/>
        <v>82600</v>
      </c>
      <c r="D9" s="134"/>
      <c r="E9" s="134">
        <v>26200</v>
      </c>
      <c r="F9" s="134">
        <v>28200</v>
      </c>
      <c r="G9" s="134">
        <v>28200</v>
      </c>
      <c r="H9" s="135"/>
    </row>
    <row r="10" spans="1:8">
      <c r="A10" s="128" t="s">
        <v>187</v>
      </c>
      <c r="B10" s="129">
        <v>170</v>
      </c>
      <c r="C10" s="136">
        <f t="shared" si="0"/>
        <v>25716104</v>
      </c>
      <c r="D10" s="137">
        <f>SUM(D6:D8)</f>
        <v>6034600</v>
      </c>
      <c r="E10" s="137">
        <f>SUM(E6:E8)</f>
        <v>6133200</v>
      </c>
      <c r="F10" s="137">
        <f>SUM(F6:F8)</f>
        <v>7000104</v>
      </c>
      <c r="G10" s="137">
        <f>SUM(G6:G8)</f>
        <v>6548200</v>
      </c>
      <c r="H10" s="135"/>
    </row>
    <row r="11" spans="1:8">
      <c r="A11" s="132" t="s">
        <v>188</v>
      </c>
      <c r="B11" s="129"/>
      <c r="C11" s="133">
        <f t="shared" si="0"/>
        <v>4861813</v>
      </c>
      <c r="D11" s="134">
        <f>1227200+129400-13200</f>
        <v>1343400</v>
      </c>
      <c r="E11" s="134">
        <v>1263000</v>
      </c>
      <c r="F11" s="134">
        <v>1061513</v>
      </c>
      <c r="G11" s="134">
        <v>1193900</v>
      </c>
    </row>
    <row r="12" spans="1:8">
      <c r="A12" s="132" t="s">
        <v>184</v>
      </c>
      <c r="B12" s="129"/>
      <c r="C12" s="133">
        <f t="shared" si="0"/>
        <v>309200</v>
      </c>
      <c r="D12" s="134">
        <v>0</v>
      </c>
      <c r="E12" s="134">
        <v>19100</v>
      </c>
      <c r="F12" s="134">
        <f>23400+170000</f>
        <v>193400</v>
      </c>
      <c r="G12" s="134">
        <v>96700</v>
      </c>
    </row>
    <row r="13" spans="1:8">
      <c r="A13" s="132" t="s">
        <v>185</v>
      </c>
      <c r="B13" s="129"/>
      <c r="C13" s="133">
        <f t="shared" si="0"/>
        <v>111000</v>
      </c>
      <c r="D13" s="134">
        <v>0</v>
      </c>
      <c r="E13" s="134">
        <v>37000</v>
      </c>
      <c r="F13" s="134">
        <v>37000</v>
      </c>
      <c r="G13" s="134">
        <v>37000</v>
      </c>
    </row>
    <row r="14" spans="1:8">
      <c r="A14" s="132" t="s">
        <v>186</v>
      </c>
      <c r="B14" s="129"/>
      <c r="C14" s="133">
        <f t="shared" si="0"/>
        <v>17400</v>
      </c>
      <c r="D14" s="134"/>
      <c r="E14" s="134">
        <v>5800</v>
      </c>
      <c r="F14" s="134">
        <v>5800</v>
      </c>
      <c r="G14" s="134">
        <v>5800</v>
      </c>
    </row>
    <row r="15" spans="1:8">
      <c r="A15" s="128" t="s">
        <v>189</v>
      </c>
      <c r="B15" s="129">
        <v>180</v>
      </c>
      <c r="C15" s="136">
        <f t="shared" si="0"/>
        <v>5299413</v>
      </c>
      <c r="D15" s="137">
        <f>SUM(D11:D13)</f>
        <v>1343400</v>
      </c>
      <c r="E15" s="137">
        <f>SUM(E11:E14)</f>
        <v>1324900</v>
      </c>
      <c r="F15" s="137">
        <f>SUM(F11:F14)</f>
        <v>1297713</v>
      </c>
      <c r="G15" s="137">
        <f>SUM(G11:G14)</f>
        <v>1333400</v>
      </c>
    </row>
    <row r="16" spans="1:8">
      <c r="A16" s="128" t="s">
        <v>190</v>
      </c>
      <c r="B16" s="129">
        <v>236</v>
      </c>
      <c r="C16" s="136">
        <f t="shared" si="0"/>
        <v>6842300</v>
      </c>
      <c r="D16" s="137">
        <f>1734300-93500-360000-6500</f>
        <v>1274300</v>
      </c>
      <c r="E16" s="137">
        <f>1760200+57000</f>
        <v>1817200</v>
      </c>
      <c r="F16" s="137">
        <f>1801600+57000+80000</f>
        <v>1938600</v>
      </c>
      <c r="G16" s="137">
        <f>1821100-88900+80000</f>
        <v>1812200</v>
      </c>
    </row>
    <row r="17" spans="1:8">
      <c r="A17" s="128" t="s">
        <v>188</v>
      </c>
      <c r="B17" s="129">
        <v>237</v>
      </c>
      <c r="C17" s="136">
        <f t="shared" si="0"/>
        <v>1417372</v>
      </c>
      <c r="D17" s="137">
        <f>381600-142600-10000</f>
        <v>229000</v>
      </c>
      <c r="E17" s="137">
        <v>374572</v>
      </c>
      <c r="F17" s="137">
        <f>396800+18000</f>
        <v>414800</v>
      </c>
      <c r="G17" s="137">
        <f>381000+18000</f>
        <v>399000</v>
      </c>
    </row>
    <row r="18" spans="1:8" ht="25.5">
      <c r="A18" s="128" t="s">
        <v>191</v>
      </c>
      <c r="B18" s="129">
        <v>238</v>
      </c>
      <c r="C18" s="136">
        <f t="shared" si="0"/>
        <v>560000</v>
      </c>
      <c r="D18" s="137">
        <f>60000</f>
        <v>60000</v>
      </c>
      <c r="E18" s="137">
        <v>60000</v>
      </c>
      <c r="F18" s="137">
        <v>250000</v>
      </c>
      <c r="G18" s="137">
        <v>190000</v>
      </c>
    </row>
    <row r="19" spans="1:8">
      <c r="A19" s="128" t="s">
        <v>192</v>
      </c>
      <c r="B19" s="129">
        <v>239</v>
      </c>
      <c r="C19" s="136">
        <f t="shared" si="0"/>
        <v>115200</v>
      </c>
      <c r="D19" s="137">
        <v>13200</v>
      </c>
      <c r="E19" s="137">
        <v>12000</v>
      </c>
      <c r="F19" s="137">
        <v>50000</v>
      </c>
      <c r="G19" s="137">
        <v>40000</v>
      </c>
    </row>
    <row r="20" spans="1:8" ht="25.5">
      <c r="A20" s="128" t="s">
        <v>193</v>
      </c>
      <c r="B20" s="129">
        <v>141</v>
      </c>
      <c r="C20" s="138">
        <f>SUM(D20:G20)</f>
        <v>1121100</v>
      </c>
      <c r="D20" s="139">
        <f>260000-160000</f>
        <v>100000</v>
      </c>
      <c r="E20" s="139">
        <f>250000+8800+4100+80000</f>
        <v>342900</v>
      </c>
      <c r="F20" s="140">
        <f>359100+208500</f>
        <v>567600</v>
      </c>
      <c r="G20" s="140">
        <v>110600</v>
      </c>
      <c r="H20" s="141"/>
    </row>
    <row r="21" spans="1:8" ht="25.5">
      <c r="A21" s="128" t="s">
        <v>194</v>
      </c>
      <c r="B21" s="129">
        <v>145</v>
      </c>
      <c r="C21" s="138">
        <f t="shared" ref="C21:C90" si="1">SUM(D21:G21)</f>
        <v>199000</v>
      </c>
      <c r="D21" s="138">
        <f>SUM(D22:D22)</f>
        <v>30000</v>
      </c>
      <c r="E21" s="138">
        <f t="shared" ref="E21:G21" si="2">SUM(E22:E22)</f>
        <v>55000</v>
      </c>
      <c r="F21" s="138">
        <f t="shared" si="2"/>
        <v>67000</v>
      </c>
      <c r="G21" s="138">
        <f t="shared" si="2"/>
        <v>47000</v>
      </c>
    </row>
    <row r="22" spans="1:8">
      <c r="A22" s="142" t="s">
        <v>195</v>
      </c>
      <c r="B22" s="143"/>
      <c r="C22" s="144">
        <f t="shared" si="1"/>
        <v>199000</v>
      </c>
      <c r="D22" s="144">
        <v>30000</v>
      </c>
      <c r="E22" s="144">
        <v>55000</v>
      </c>
      <c r="F22" s="144">
        <f>55000+12000</f>
        <v>67000</v>
      </c>
      <c r="G22" s="144">
        <v>47000</v>
      </c>
    </row>
    <row r="23" spans="1:8" ht="25.5">
      <c r="A23" s="128" t="s">
        <v>196</v>
      </c>
      <c r="B23" s="129">
        <v>146</v>
      </c>
      <c r="C23" s="138">
        <f t="shared" si="1"/>
        <v>1066300</v>
      </c>
      <c r="D23" s="138">
        <f>SUM(D24:D37)</f>
        <v>48000</v>
      </c>
      <c r="E23" s="138">
        <f>SUM(E24:E37)</f>
        <v>133400</v>
      </c>
      <c r="F23" s="138">
        <f>SUM(F24:F37)</f>
        <v>493300</v>
      </c>
      <c r="G23" s="138">
        <f>SUM(G24:G37)</f>
        <v>391600</v>
      </c>
    </row>
    <row r="24" spans="1:8">
      <c r="A24" s="142" t="s">
        <v>197</v>
      </c>
      <c r="B24" s="143"/>
      <c r="C24" s="144">
        <f t="shared" si="1"/>
        <v>45000</v>
      </c>
      <c r="D24" s="144">
        <v>3000</v>
      </c>
      <c r="E24" s="144">
        <f>9000</f>
        <v>9000</v>
      </c>
      <c r="F24" s="144">
        <f>4000+2000+10000</f>
        <v>16000</v>
      </c>
      <c r="G24" s="144">
        <f>3000+4000+10000</f>
        <v>17000</v>
      </c>
    </row>
    <row r="25" spans="1:8">
      <c r="A25" s="142" t="s">
        <v>198</v>
      </c>
      <c r="B25" s="143"/>
      <c r="C25" s="144">
        <f t="shared" si="1"/>
        <v>54000</v>
      </c>
      <c r="D25" s="144">
        <v>5000</v>
      </c>
      <c r="E25" s="144">
        <f>4000+5000</f>
        <v>9000</v>
      </c>
      <c r="F25" s="144">
        <f>5000+4000+11000</f>
        <v>20000</v>
      </c>
      <c r="G25" s="144">
        <f>5000+4000+11000</f>
        <v>20000</v>
      </c>
      <c r="H25" s="145"/>
    </row>
    <row r="26" spans="1:8">
      <c r="A26" s="146" t="s">
        <v>199</v>
      </c>
      <c r="B26" s="143"/>
      <c r="C26" s="144">
        <f t="shared" si="1"/>
        <v>150000</v>
      </c>
      <c r="D26" s="144">
        <v>9500</v>
      </c>
      <c r="E26" s="144">
        <f>9500+4000</f>
        <v>13500</v>
      </c>
      <c r="F26" s="144">
        <f>9500+4000+50500</f>
        <v>64000</v>
      </c>
      <c r="G26" s="144">
        <f>9500+3000+50500</f>
        <v>63000</v>
      </c>
    </row>
    <row r="27" spans="1:8" ht="25.5">
      <c r="A27" s="146" t="s">
        <v>200</v>
      </c>
      <c r="B27" s="143"/>
      <c r="C27" s="144">
        <f t="shared" si="1"/>
        <v>252000</v>
      </c>
      <c r="D27" s="144">
        <v>2500</v>
      </c>
      <c r="E27" s="144">
        <f>2500+10000</f>
        <v>12500</v>
      </c>
      <c r="F27" s="144">
        <f>2500+10000+130000</f>
        <v>142500</v>
      </c>
      <c r="G27" s="144">
        <v>94500</v>
      </c>
    </row>
    <row r="28" spans="1:8">
      <c r="A28" s="146" t="s">
        <v>201</v>
      </c>
      <c r="B28" s="143"/>
      <c r="C28" s="144">
        <f t="shared" si="1"/>
        <v>47000</v>
      </c>
      <c r="D28" s="144">
        <v>1000</v>
      </c>
      <c r="E28" s="144">
        <f>3000+3000</f>
        <v>6000</v>
      </c>
      <c r="F28" s="144">
        <f>1000+4000+15000</f>
        <v>20000</v>
      </c>
      <c r="G28" s="144">
        <f>1000+3000+16000</f>
        <v>20000</v>
      </c>
    </row>
    <row r="29" spans="1:8">
      <c r="A29" s="147" t="s">
        <v>202</v>
      </c>
      <c r="B29" s="143"/>
      <c r="C29" s="144">
        <f t="shared" si="1"/>
        <v>105000</v>
      </c>
      <c r="D29" s="144"/>
      <c r="E29" s="144">
        <f>23000+16000</f>
        <v>39000</v>
      </c>
      <c r="F29" s="144">
        <f>21000-16000+28000</f>
        <v>33000</v>
      </c>
      <c r="G29" s="144">
        <f>5000+28000</f>
        <v>33000</v>
      </c>
    </row>
    <row r="30" spans="1:8">
      <c r="A30" s="148" t="s">
        <v>203</v>
      </c>
      <c r="B30" s="143"/>
      <c r="C30" s="144">
        <f t="shared" si="1"/>
        <v>96100</v>
      </c>
      <c r="D30" s="144">
        <v>0</v>
      </c>
      <c r="E30" s="144">
        <f>20000</f>
        <v>20000</v>
      </c>
      <c r="F30" s="144">
        <f>19500+25800</f>
        <v>45300</v>
      </c>
      <c r="G30" s="144">
        <f>5000+25800</f>
        <v>30800</v>
      </c>
    </row>
    <row r="31" spans="1:8">
      <c r="A31" s="148" t="s">
        <v>204</v>
      </c>
      <c r="B31" s="143"/>
      <c r="C31" s="144">
        <f t="shared" si="1"/>
        <v>171800</v>
      </c>
      <c r="D31" s="144">
        <v>3000</v>
      </c>
      <c r="E31" s="144">
        <v>3000</v>
      </c>
      <c r="F31" s="144">
        <f>3000+100000</f>
        <v>103000</v>
      </c>
      <c r="G31" s="144">
        <v>62800</v>
      </c>
    </row>
    <row r="32" spans="1:8" ht="25.5">
      <c r="A32" s="142" t="s">
        <v>205</v>
      </c>
      <c r="B32" s="143"/>
      <c r="C32" s="144">
        <f t="shared" si="1"/>
        <v>10000</v>
      </c>
      <c r="D32" s="144"/>
      <c r="E32" s="144">
        <v>5000</v>
      </c>
      <c r="F32" s="144">
        <v>2500</v>
      </c>
      <c r="G32" s="144">
        <v>2500</v>
      </c>
    </row>
    <row r="33" spans="1:7">
      <c r="A33" s="148" t="s">
        <v>206</v>
      </c>
      <c r="B33" s="143"/>
      <c r="C33" s="144">
        <f t="shared" si="1"/>
        <v>60000</v>
      </c>
      <c r="D33" s="144">
        <v>15000</v>
      </c>
      <c r="E33" s="144">
        <f>15000-10000</f>
        <v>5000</v>
      </c>
      <c r="F33" s="149">
        <f>10000+10000</f>
        <v>20000</v>
      </c>
      <c r="G33" s="144">
        <f>10000+10000</f>
        <v>20000</v>
      </c>
    </row>
    <row r="34" spans="1:7">
      <c r="A34" s="148" t="s">
        <v>207</v>
      </c>
      <c r="B34" s="143"/>
      <c r="C34" s="144">
        <f t="shared" si="1"/>
        <v>10000</v>
      </c>
      <c r="D34" s="144">
        <v>4000</v>
      </c>
      <c r="E34" s="144">
        <v>6000</v>
      </c>
      <c r="F34" s="144"/>
      <c r="G34" s="144"/>
    </row>
    <row r="35" spans="1:7">
      <c r="A35" s="148" t="s">
        <v>208</v>
      </c>
      <c r="B35" s="143"/>
      <c r="C35" s="144">
        <f t="shared" si="1"/>
        <v>2900</v>
      </c>
      <c r="D35" s="144">
        <v>300</v>
      </c>
      <c r="E35" s="144">
        <f>300+300</f>
        <v>600</v>
      </c>
      <c r="F35" s="144">
        <v>1000</v>
      </c>
      <c r="G35" s="144">
        <v>1000</v>
      </c>
    </row>
    <row r="36" spans="1:7">
      <c r="A36" s="148" t="s">
        <v>209</v>
      </c>
      <c r="B36" s="143"/>
      <c r="C36" s="144">
        <f t="shared" si="1"/>
        <v>57500</v>
      </c>
      <c r="D36" s="144">
        <v>3700</v>
      </c>
      <c r="E36" s="144">
        <v>3800</v>
      </c>
      <c r="F36" s="144">
        <v>25000</v>
      </c>
      <c r="G36" s="144">
        <v>25000</v>
      </c>
    </row>
    <row r="37" spans="1:7" ht="38.25">
      <c r="A37" s="142" t="s">
        <v>210</v>
      </c>
      <c r="B37" s="143"/>
      <c r="C37" s="144">
        <f t="shared" si="1"/>
        <v>5000</v>
      </c>
      <c r="D37" s="144">
        <v>1000</v>
      </c>
      <c r="E37" s="144">
        <v>1000</v>
      </c>
      <c r="F37" s="144">
        <v>1000</v>
      </c>
      <c r="G37" s="144">
        <v>2000</v>
      </c>
    </row>
    <row r="38" spans="1:7" ht="25.5">
      <c r="A38" s="128" t="s">
        <v>211</v>
      </c>
      <c r="B38" s="150">
        <v>150</v>
      </c>
      <c r="C38" s="138">
        <f t="shared" si="1"/>
        <v>730200</v>
      </c>
      <c r="D38" s="151">
        <f>D39+D40+D41+D43+D44+D42+D45+D46+D47+D48</f>
        <v>138300</v>
      </c>
      <c r="E38" s="151">
        <f t="shared" ref="E38:G38" si="3">E39+E40+E41+E43+E44+E42+E45+E46+E47+E48</f>
        <v>133300</v>
      </c>
      <c r="F38" s="151">
        <f t="shared" si="3"/>
        <v>230300</v>
      </c>
      <c r="G38" s="151">
        <f t="shared" si="3"/>
        <v>228300</v>
      </c>
    </row>
    <row r="39" spans="1:7">
      <c r="A39" s="128" t="s">
        <v>212</v>
      </c>
      <c r="B39" s="152"/>
      <c r="C39" s="153">
        <f t="shared" si="1"/>
        <v>144000</v>
      </c>
      <c r="D39" s="154">
        <v>36000</v>
      </c>
      <c r="E39" s="154">
        <v>36000</v>
      </c>
      <c r="F39" s="154">
        <v>36000</v>
      </c>
      <c r="G39" s="154">
        <v>36000</v>
      </c>
    </row>
    <row r="40" spans="1:7">
      <c r="A40" s="132" t="s">
        <v>184</v>
      </c>
      <c r="B40" s="152"/>
      <c r="C40" s="144">
        <f t="shared" si="1"/>
        <v>90000</v>
      </c>
      <c r="D40" s="155">
        <v>0</v>
      </c>
      <c r="E40" s="155">
        <v>0</v>
      </c>
      <c r="F40" s="155">
        <f>15000+30000</f>
        <v>45000</v>
      </c>
      <c r="G40" s="155">
        <f>15000+30000</f>
        <v>45000</v>
      </c>
    </row>
    <row r="41" spans="1:7">
      <c r="A41" s="132" t="s">
        <v>185</v>
      </c>
      <c r="B41" s="152"/>
      <c r="C41" s="144">
        <f t="shared" si="1"/>
        <v>8000</v>
      </c>
      <c r="D41" s="155">
        <v>0</v>
      </c>
      <c r="E41" s="155">
        <v>0</v>
      </c>
      <c r="F41" s="155">
        <v>4000</v>
      </c>
      <c r="G41" s="155">
        <v>4000</v>
      </c>
    </row>
    <row r="42" spans="1:7">
      <c r="A42" s="128" t="s">
        <v>213</v>
      </c>
      <c r="B42" s="152"/>
      <c r="C42" s="153">
        <f t="shared" si="1"/>
        <v>182000</v>
      </c>
      <c r="D42" s="154">
        <v>45500</v>
      </c>
      <c r="E42" s="154">
        <v>45500</v>
      </c>
      <c r="F42" s="154">
        <v>45500</v>
      </c>
      <c r="G42" s="154">
        <v>45500</v>
      </c>
    </row>
    <row r="43" spans="1:7">
      <c r="A43" s="132" t="s">
        <v>184</v>
      </c>
      <c r="B43" s="152"/>
      <c r="C43" s="144">
        <f t="shared" si="1"/>
        <v>58000</v>
      </c>
      <c r="D43" s="155"/>
      <c r="E43" s="155"/>
      <c r="F43" s="155">
        <f>15000+14000</f>
        <v>29000</v>
      </c>
      <c r="G43" s="155">
        <f>15000+14000</f>
        <v>29000</v>
      </c>
    </row>
    <row r="44" spans="1:7">
      <c r="A44" s="132" t="s">
        <v>185</v>
      </c>
      <c r="B44" s="152"/>
      <c r="C44" s="144">
        <f t="shared" si="1"/>
        <v>0</v>
      </c>
      <c r="D44" s="155"/>
      <c r="E44" s="155"/>
      <c r="F44" s="155"/>
      <c r="G44" s="155"/>
    </row>
    <row r="45" spans="1:7">
      <c r="A45" s="128" t="s">
        <v>214</v>
      </c>
      <c r="B45" s="152"/>
      <c r="C45" s="153">
        <f t="shared" si="1"/>
        <v>199200</v>
      </c>
      <c r="D45" s="154">
        <v>49800</v>
      </c>
      <c r="E45" s="154">
        <v>49800</v>
      </c>
      <c r="F45" s="154">
        <v>49800</v>
      </c>
      <c r="G45" s="154">
        <v>49800</v>
      </c>
    </row>
    <row r="46" spans="1:7">
      <c r="A46" s="132" t="s">
        <v>184</v>
      </c>
      <c r="B46" s="152"/>
      <c r="C46" s="144">
        <f t="shared" si="1"/>
        <v>30000</v>
      </c>
      <c r="D46" s="155"/>
      <c r="E46" s="155"/>
      <c r="F46" s="155">
        <v>15000</v>
      </c>
      <c r="G46" s="155">
        <v>15000</v>
      </c>
    </row>
    <row r="47" spans="1:7">
      <c r="A47" s="132" t="s">
        <v>185</v>
      </c>
      <c r="B47" s="152"/>
      <c r="C47" s="144">
        <f t="shared" si="1"/>
        <v>7000</v>
      </c>
      <c r="D47" s="155"/>
      <c r="E47" s="155"/>
      <c r="F47" s="155">
        <v>4000</v>
      </c>
      <c r="G47" s="155">
        <v>3000</v>
      </c>
    </row>
    <row r="48" spans="1:7">
      <c r="A48" s="128" t="s">
        <v>215</v>
      </c>
      <c r="B48" s="152"/>
      <c r="C48" s="144">
        <f t="shared" si="1"/>
        <v>12000</v>
      </c>
      <c r="D48" s="155">
        <v>7000</v>
      </c>
      <c r="E48" s="155">
        <v>2000</v>
      </c>
      <c r="F48" s="155">
        <v>2000</v>
      </c>
      <c r="G48" s="155">
        <v>1000</v>
      </c>
    </row>
    <row r="49" spans="1:7" ht="25.5">
      <c r="A49" s="128" t="s">
        <v>216</v>
      </c>
      <c r="B49" s="129">
        <v>166</v>
      </c>
      <c r="C49" s="138">
        <f t="shared" si="1"/>
        <v>6000</v>
      </c>
      <c r="D49" s="131"/>
      <c r="E49" s="131">
        <v>3000</v>
      </c>
      <c r="F49" s="131">
        <v>3000</v>
      </c>
      <c r="G49" s="131"/>
    </row>
    <row r="50" spans="1:7" ht="51">
      <c r="A50" s="156" t="s">
        <v>217</v>
      </c>
      <c r="B50" s="129">
        <v>190</v>
      </c>
      <c r="C50" s="138">
        <f t="shared" si="1"/>
        <v>216000</v>
      </c>
      <c r="D50" s="131"/>
      <c r="E50" s="131">
        <v>72000</v>
      </c>
      <c r="F50" s="131">
        <v>72000</v>
      </c>
      <c r="G50" s="131">
        <v>72000</v>
      </c>
    </row>
    <row r="51" spans="1:7" ht="38.25">
      <c r="A51" s="157" t="s">
        <v>218</v>
      </c>
      <c r="B51" s="129">
        <v>191</v>
      </c>
      <c r="C51" s="138">
        <f t="shared" si="1"/>
        <v>142000</v>
      </c>
      <c r="D51" s="131"/>
      <c r="E51" s="131">
        <v>47000</v>
      </c>
      <c r="F51" s="131">
        <v>47000</v>
      </c>
      <c r="G51" s="131">
        <v>48000</v>
      </c>
    </row>
    <row r="52" spans="1:7" ht="51">
      <c r="A52" s="156" t="s">
        <v>219</v>
      </c>
      <c r="B52" s="129">
        <v>192</v>
      </c>
      <c r="C52" s="138">
        <f t="shared" si="1"/>
        <v>175000</v>
      </c>
      <c r="D52" s="131"/>
      <c r="E52" s="131">
        <v>58000</v>
      </c>
      <c r="F52" s="131">
        <v>58000</v>
      </c>
      <c r="G52" s="131">
        <v>59000</v>
      </c>
    </row>
    <row r="53" spans="1:7" ht="38.25">
      <c r="A53" s="128" t="s">
        <v>220</v>
      </c>
      <c r="B53" s="129">
        <v>193</v>
      </c>
      <c r="C53" s="138">
        <f t="shared" si="1"/>
        <v>60000</v>
      </c>
      <c r="D53" s="131"/>
      <c r="E53" s="131">
        <v>20000</v>
      </c>
      <c r="F53" s="131">
        <v>15000</v>
      </c>
      <c r="G53" s="131">
        <f>10000+15000</f>
        <v>25000</v>
      </c>
    </row>
    <row r="54" spans="1:7">
      <c r="A54" s="156"/>
      <c r="B54" s="129">
        <v>194</v>
      </c>
      <c r="C54" s="138">
        <f t="shared" si="1"/>
        <v>0</v>
      </c>
      <c r="D54" s="131"/>
      <c r="E54" s="131"/>
      <c r="F54" s="131"/>
      <c r="G54" s="131"/>
    </row>
    <row r="55" spans="1:7" ht="63.75">
      <c r="A55" s="156" t="s">
        <v>221</v>
      </c>
      <c r="B55" s="158">
        <v>195</v>
      </c>
      <c r="C55" s="138">
        <f t="shared" si="1"/>
        <v>200000</v>
      </c>
      <c r="D55" s="153">
        <f>D56+D57</f>
        <v>0</v>
      </c>
      <c r="E55" s="138">
        <v>65000</v>
      </c>
      <c r="F55" s="138">
        <v>70000</v>
      </c>
      <c r="G55" s="138">
        <v>65000</v>
      </c>
    </row>
    <row r="56" spans="1:7">
      <c r="A56" s="156"/>
      <c r="B56" s="129">
        <v>196</v>
      </c>
      <c r="C56" s="153">
        <f t="shared" si="1"/>
        <v>0</v>
      </c>
      <c r="D56" s="144"/>
      <c r="E56" s="144"/>
      <c r="F56" s="144"/>
      <c r="G56" s="144"/>
    </row>
    <row r="57" spans="1:7">
      <c r="A57" s="156"/>
      <c r="B57" s="158">
        <v>197</v>
      </c>
      <c r="C57" s="153">
        <f t="shared" si="1"/>
        <v>0</v>
      </c>
      <c r="D57" s="153"/>
      <c r="E57" s="144"/>
      <c r="F57" s="144"/>
      <c r="G57" s="144"/>
    </row>
    <row r="58" spans="1:7">
      <c r="A58" s="156"/>
      <c r="B58" s="158">
        <v>198</v>
      </c>
      <c r="C58" s="153">
        <f t="shared" si="1"/>
        <v>0</v>
      </c>
      <c r="D58" s="153"/>
      <c r="E58" s="144"/>
      <c r="F58" s="144"/>
      <c r="G58" s="144"/>
    </row>
    <row r="59" spans="1:7">
      <c r="A59" s="157"/>
      <c r="B59" s="158">
        <v>199</v>
      </c>
      <c r="C59" s="153">
        <f t="shared" si="1"/>
        <v>0</v>
      </c>
      <c r="D59" s="153"/>
      <c r="E59" s="144"/>
      <c r="F59" s="144"/>
      <c r="G59" s="144"/>
    </row>
    <row r="60" spans="1:7" ht="25.5">
      <c r="A60" s="128" t="s">
        <v>222</v>
      </c>
      <c r="B60" s="129">
        <v>200</v>
      </c>
      <c r="C60" s="138">
        <f t="shared" si="1"/>
        <v>30000</v>
      </c>
      <c r="D60" s="138">
        <f t="shared" ref="D60:G60" si="4">SUM(D61:D61)</f>
        <v>0</v>
      </c>
      <c r="E60" s="138">
        <f t="shared" si="4"/>
        <v>5000</v>
      </c>
      <c r="F60" s="138">
        <f t="shared" si="4"/>
        <v>10000</v>
      </c>
      <c r="G60" s="138">
        <f t="shared" si="4"/>
        <v>15000</v>
      </c>
    </row>
    <row r="61" spans="1:7" ht="25.5">
      <c r="A61" s="142" t="s">
        <v>223</v>
      </c>
      <c r="B61" s="143"/>
      <c r="C61" s="144">
        <f t="shared" si="1"/>
        <v>30000</v>
      </c>
      <c r="D61" s="144"/>
      <c r="E61" s="144">
        <v>5000</v>
      </c>
      <c r="F61" s="144">
        <f>5000+5000</f>
        <v>10000</v>
      </c>
      <c r="G61" s="144">
        <f>5000+5000+5000</f>
        <v>15000</v>
      </c>
    </row>
    <row r="62" spans="1:7" ht="14.25">
      <c r="A62" s="159"/>
      <c r="B62" s="129">
        <v>201</v>
      </c>
      <c r="C62" s="138">
        <f t="shared" si="1"/>
        <v>0</v>
      </c>
      <c r="D62" s="138"/>
      <c r="E62" s="138"/>
      <c r="F62" s="138"/>
      <c r="G62" s="138"/>
    </row>
    <row r="63" spans="1:7">
      <c r="A63" s="160" t="s">
        <v>224</v>
      </c>
      <c r="B63" s="129">
        <v>220</v>
      </c>
      <c r="C63" s="138">
        <f t="shared" si="1"/>
        <v>40000</v>
      </c>
      <c r="D63" s="138">
        <f>SUM(D64:D64)</f>
        <v>5000</v>
      </c>
      <c r="E63" s="138">
        <f>SUM(E64:E64)</f>
        <v>5000</v>
      </c>
      <c r="F63" s="138">
        <f>SUM(F64:F64)</f>
        <v>30000</v>
      </c>
      <c r="G63" s="138">
        <f>SUM(G64:G64)</f>
        <v>0</v>
      </c>
    </row>
    <row r="64" spans="1:7">
      <c r="A64" s="142" t="s">
        <v>225</v>
      </c>
      <c r="B64" s="143"/>
      <c r="C64" s="144">
        <f t="shared" si="1"/>
        <v>40000</v>
      </c>
      <c r="D64" s="144">
        <v>5000</v>
      </c>
      <c r="E64" s="144">
        <v>5000</v>
      </c>
      <c r="F64" s="144">
        <f>5000+25000</f>
        <v>30000</v>
      </c>
      <c r="G64" s="144">
        <v>0</v>
      </c>
    </row>
    <row r="65" spans="1:8" ht="38.25">
      <c r="A65" s="128" t="s">
        <v>226</v>
      </c>
      <c r="B65" s="129">
        <v>231</v>
      </c>
      <c r="C65" s="138">
        <f t="shared" si="1"/>
        <v>51100</v>
      </c>
      <c r="D65" s="138">
        <f>SUM(D66:D67)</f>
        <v>3500</v>
      </c>
      <c r="E65" s="138">
        <f>SUM(E66:E67)</f>
        <v>22300</v>
      </c>
      <c r="F65" s="138">
        <f>SUM(F66:F67)</f>
        <v>12900</v>
      </c>
      <c r="G65" s="138">
        <f>SUM(G66:G67)</f>
        <v>12400</v>
      </c>
    </row>
    <row r="66" spans="1:8">
      <c r="A66" s="142" t="s">
        <v>227</v>
      </c>
      <c r="B66" s="143"/>
      <c r="C66" s="144">
        <f t="shared" si="1"/>
        <v>17500</v>
      </c>
      <c r="D66" s="144">
        <f>4500-4000</f>
        <v>500</v>
      </c>
      <c r="E66" s="144">
        <f>4500+4000</f>
        <v>8500</v>
      </c>
      <c r="F66" s="144">
        <v>4500</v>
      </c>
      <c r="G66" s="144">
        <v>4000</v>
      </c>
    </row>
    <row r="67" spans="1:8">
      <c r="A67" s="142" t="s">
        <v>228</v>
      </c>
      <c r="B67" s="143"/>
      <c r="C67" s="144">
        <f t="shared" si="1"/>
        <v>33600</v>
      </c>
      <c r="D67" s="144">
        <f>8400-5400</f>
        <v>3000</v>
      </c>
      <c r="E67" s="144">
        <f>8400+5400</f>
        <v>13800</v>
      </c>
      <c r="F67" s="144">
        <v>8400</v>
      </c>
      <c r="G67" s="144">
        <v>8400</v>
      </c>
    </row>
    <row r="68" spans="1:8" ht="51">
      <c r="A68" s="128" t="s">
        <v>229</v>
      </c>
      <c r="B68" s="129">
        <v>232</v>
      </c>
      <c r="C68" s="138">
        <f t="shared" si="1"/>
        <v>731400</v>
      </c>
      <c r="D68" s="138">
        <f>SUM(D69:D71)</f>
        <v>146400</v>
      </c>
      <c r="E68" s="138">
        <f>SUM(E69:E71)</f>
        <v>172000</v>
      </c>
      <c r="F68" s="138">
        <f>SUM(F69:F71)</f>
        <v>199000</v>
      </c>
      <c r="G68" s="138">
        <f>SUM(G69:G71)</f>
        <v>214000</v>
      </c>
    </row>
    <row r="69" spans="1:8">
      <c r="A69" s="161" t="s">
        <v>230</v>
      </c>
      <c r="B69" s="152"/>
      <c r="C69" s="144">
        <f t="shared" si="1"/>
        <v>47000</v>
      </c>
      <c r="D69" s="144"/>
      <c r="E69" s="144">
        <f>15000</f>
        <v>15000</v>
      </c>
      <c r="F69" s="144">
        <f>10000+7000+2000</f>
        <v>19000</v>
      </c>
      <c r="G69" s="144">
        <f>8000+5000</f>
        <v>13000</v>
      </c>
    </row>
    <row r="70" spans="1:8">
      <c r="A70" s="142" t="s">
        <v>231</v>
      </c>
      <c r="B70" s="143"/>
      <c r="C70" s="144">
        <f t="shared" si="1"/>
        <v>664000</v>
      </c>
      <c r="D70" s="144">
        <f>80000+50000</f>
        <v>130000</v>
      </c>
      <c r="E70" s="144">
        <v>157000</v>
      </c>
      <c r="F70" s="144">
        <v>178000</v>
      </c>
      <c r="G70" s="144">
        <v>199000</v>
      </c>
      <c r="H70" s="145"/>
    </row>
    <row r="71" spans="1:8">
      <c r="A71" s="142" t="s">
        <v>232</v>
      </c>
      <c r="B71" s="143"/>
      <c r="C71" s="144">
        <f t="shared" si="1"/>
        <v>20400</v>
      </c>
      <c r="D71" s="144">
        <f>6200+10200</f>
        <v>16400</v>
      </c>
      <c r="E71" s="144">
        <v>0</v>
      </c>
      <c r="F71" s="144">
        <f>6000-4000</f>
        <v>2000</v>
      </c>
      <c r="G71" s="144">
        <v>2000</v>
      </c>
    </row>
    <row r="72" spans="1:8" ht="38.25">
      <c r="A72" s="128" t="s">
        <v>233</v>
      </c>
      <c r="B72" s="129">
        <v>233</v>
      </c>
      <c r="C72" s="138">
        <f t="shared" si="1"/>
        <v>359500</v>
      </c>
      <c r="D72" s="138">
        <f>SUM(D73:D74)</f>
        <v>56500</v>
      </c>
      <c r="E72" s="138">
        <f>SUM(E73:E74)</f>
        <v>47000</v>
      </c>
      <c r="F72" s="138">
        <f>SUM(F73:F74)</f>
        <v>57000</v>
      </c>
      <c r="G72" s="138">
        <f>SUM(G73:G74)</f>
        <v>199000</v>
      </c>
    </row>
    <row r="73" spans="1:8" ht="25.5">
      <c r="A73" s="142" t="s">
        <v>234</v>
      </c>
      <c r="B73" s="143"/>
      <c r="C73" s="144">
        <f t="shared" si="1"/>
        <v>342000</v>
      </c>
      <c r="D73" s="144">
        <f>42500+10000</f>
        <v>52500</v>
      </c>
      <c r="E73" s="144">
        <f>42500-10000+10000</f>
        <v>42500</v>
      </c>
      <c r="F73" s="144">
        <f>42500+10000</f>
        <v>52500</v>
      </c>
      <c r="G73" s="144">
        <v>194500</v>
      </c>
    </row>
    <row r="74" spans="1:8" ht="25.5">
      <c r="A74" s="142" t="s">
        <v>235</v>
      </c>
      <c r="B74" s="143"/>
      <c r="C74" s="144">
        <f t="shared" si="1"/>
        <v>17500</v>
      </c>
      <c r="D74" s="144">
        <v>4000</v>
      </c>
      <c r="E74" s="144">
        <v>4500</v>
      </c>
      <c r="F74" s="144">
        <v>4500</v>
      </c>
      <c r="G74" s="144">
        <v>4500</v>
      </c>
    </row>
    <row r="75" spans="1:8" ht="25.5">
      <c r="A75" s="128" t="s">
        <v>236</v>
      </c>
      <c r="B75" s="129">
        <v>234</v>
      </c>
      <c r="C75" s="138">
        <f t="shared" si="1"/>
        <v>50000</v>
      </c>
      <c r="D75" s="138">
        <v>15000</v>
      </c>
      <c r="E75" s="138">
        <v>20000</v>
      </c>
      <c r="F75" s="138">
        <v>15000</v>
      </c>
      <c r="G75" s="138">
        <v>0</v>
      </c>
    </row>
    <row r="76" spans="1:8" ht="25.5">
      <c r="A76" s="128" t="s">
        <v>237</v>
      </c>
      <c r="B76" s="129">
        <v>235</v>
      </c>
      <c r="C76" s="138">
        <f t="shared" si="1"/>
        <v>148200</v>
      </c>
      <c r="D76" s="138">
        <f>SUM(D77:D78)</f>
        <v>26000</v>
      </c>
      <c r="E76" s="138">
        <f>SUM(E77:E78)</f>
        <v>24000</v>
      </c>
      <c r="F76" s="138">
        <f>SUM(F77:F78)</f>
        <v>26000</v>
      </c>
      <c r="G76" s="138">
        <f>SUM(G77:G78)</f>
        <v>72200</v>
      </c>
    </row>
    <row r="77" spans="1:8">
      <c r="A77" s="142" t="s">
        <v>238</v>
      </c>
      <c r="B77" s="143"/>
      <c r="C77" s="144">
        <f t="shared" si="1"/>
        <v>65000</v>
      </c>
      <c r="D77" s="144">
        <v>13000</v>
      </c>
      <c r="E77" s="144">
        <v>11000</v>
      </c>
      <c r="F77" s="144">
        <v>13000</v>
      </c>
      <c r="G77" s="144">
        <v>28000</v>
      </c>
    </row>
    <row r="78" spans="1:8">
      <c r="A78" s="142" t="s">
        <v>239</v>
      </c>
      <c r="B78" s="143"/>
      <c r="C78" s="144">
        <f t="shared" si="1"/>
        <v>83200</v>
      </c>
      <c r="D78" s="144">
        <v>13000</v>
      </c>
      <c r="E78" s="144">
        <v>13000</v>
      </c>
      <c r="F78" s="144">
        <v>13000</v>
      </c>
      <c r="G78" s="144">
        <v>44200</v>
      </c>
    </row>
    <row r="79" spans="1:8" ht="25.5">
      <c r="A79" s="128" t="s">
        <v>240</v>
      </c>
      <c r="B79" s="129">
        <v>240</v>
      </c>
      <c r="C79" s="138">
        <f t="shared" si="1"/>
        <v>49300</v>
      </c>
      <c r="D79" s="138">
        <f>SUM(D80:D80)</f>
        <v>5000</v>
      </c>
      <c r="E79" s="138">
        <f t="shared" ref="E79:G79" si="5">SUM(E80:E80)</f>
        <v>11000</v>
      </c>
      <c r="F79" s="138">
        <f t="shared" si="5"/>
        <v>16650</v>
      </c>
      <c r="G79" s="138">
        <f t="shared" si="5"/>
        <v>16650</v>
      </c>
    </row>
    <row r="80" spans="1:8" ht="25.5">
      <c r="A80" s="142" t="s">
        <v>241</v>
      </c>
      <c r="B80" s="143"/>
      <c r="C80" s="144">
        <f t="shared" si="1"/>
        <v>49300</v>
      </c>
      <c r="D80" s="144">
        <v>5000</v>
      </c>
      <c r="E80" s="144">
        <f>5000+6000</f>
        <v>11000</v>
      </c>
      <c r="F80" s="144">
        <f>5000+7000+4650</f>
        <v>16650</v>
      </c>
      <c r="G80" s="144">
        <f>5000+7000+4650</f>
        <v>16650</v>
      </c>
    </row>
    <row r="81" spans="1:8" ht="25.5">
      <c r="A81" s="128" t="s">
        <v>242</v>
      </c>
      <c r="B81" s="162">
        <v>241</v>
      </c>
      <c r="C81" s="138">
        <f t="shared" si="1"/>
        <v>683300</v>
      </c>
      <c r="D81" s="138">
        <f>SUM(D82:D97)</f>
        <v>86700</v>
      </c>
      <c r="E81" s="138">
        <f t="shared" ref="E81:G81" si="6">SUM(E82:E97)</f>
        <v>109700</v>
      </c>
      <c r="F81" s="138">
        <f t="shared" si="6"/>
        <v>253700</v>
      </c>
      <c r="G81" s="138">
        <f t="shared" si="6"/>
        <v>233200</v>
      </c>
    </row>
    <row r="82" spans="1:8">
      <c r="A82" s="161"/>
      <c r="B82" s="162"/>
      <c r="C82" s="144">
        <f t="shared" si="1"/>
        <v>0</v>
      </c>
      <c r="D82" s="144"/>
      <c r="E82" s="144"/>
      <c r="F82" s="144"/>
      <c r="G82" s="144"/>
    </row>
    <row r="83" spans="1:8">
      <c r="A83" s="142"/>
      <c r="B83" s="143"/>
      <c r="C83" s="144">
        <f t="shared" si="1"/>
        <v>0</v>
      </c>
      <c r="D83" s="144"/>
      <c r="E83" s="144"/>
      <c r="F83" s="144"/>
      <c r="G83" s="144"/>
    </row>
    <row r="84" spans="1:8" ht="25.5">
      <c r="A84" s="142" t="s">
        <v>243</v>
      </c>
      <c r="B84" s="143"/>
      <c r="C84" s="144">
        <f t="shared" si="1"/>
        <v>26000</v>
      </c>
      <c r="D84" s="144">
        <v>4000</v>
      </c>
      <c r="E84" s="144">
        <v>2000</v>
      </c>
      <c r="F84" s="144">
        <f>4000+6000</f>
        <v>10000</v>
      </c>
      <c r="G84" s="144">
        <v>10000</v>
      </c>
    </row>
    <row r="85" spans="1:8" ht="25.5">
      <c r="A85" s="142" t="s">
        <v>244</v>
      </c>
      <c r="B85" s="143"/>
      <c r="C85" s="144">
        <f t="shared" si="1"/>
        <v>15000</v>
      </c>
      <c r="D85" s="144">
        <v>2500</v>
      </c>
      <c r="E85" s="144">
        <v>2500</v>
      </c>
      <c r="F85" s="144">
        <f>2500+2500</f>
        <v>5000</v>
      </c>
      <c r="G85" s="144">
        <f>2500+2500</f>
        <v>5000</v>
      </c>
    </row>
    <row r="86" spans="1:8" ht="25.5">
      <c r="A86" s="142" t="s">
        <v>245</v>
      </c>
      <c r="B86" s="143"/>
      <c r="C86" s="144">
        <f t="shared" si="1"/>
        <v>30000</v>
      </c>
      <c r="D86" s="144">
        <v>5000</v>
      </c>
      <c r="E86" s="144">
        <f>5000</f>
        <v>5000</v>
      </c>
      <c r="F86" s="144">
        <f>5000+5000</f>
        <v>10000</v>
      </c>
      <c r="G86" s="144">
        <f>5000+5000</f>
        <v>10000</v>
      </c>
      <c r="H86" s="163"/>
    </row>
    <row r="87" spans="1:8">
      <c r="A87" s="142" t="s">
        <v>246</v>
      </c>
      <c r="B87" s="143"/>
      <c r="C87" s="144">
        <f t="shared" si="1"/>
        <v>2800</v>
      </c>
      <c r="D87" s="144">
        <v>700</v>
      </c>
      <c r="E87" s="144">
        <v>700</v>
      </c>
      <c r="F87" s="144">
        <v>700</v>
      </c>
      <c r="G87" s="144">
        <v>700</v>
      </c>
    </row>
    <row r="88" spans="1:8" ht="25.5">
      <c r="A88" s="142" t="s">
        <v>247</v>
      </c>
      <c r="B88" s="143"/>
      <c r="C88" s="144">
        <f t="shared" si="1"/>
        <v>10000</v>
      </c>
      <c r="D88" s="144">
        <v>2500</v>
      </c>
      <c r="E88" s="144">
        <f>2500</f>
        <v>2500</v>
      </c>
      <c r="F88" s="144">
        <f>2500</f>
        <v>2500</v>
      </c>
      <c r="G88" s="144">
        <v>2500</v>
      </c>
    </row>
    <row r="89" spans="1:8" ht="38.25">
      <c r="A89" s="142" t="s">
        <v>248</v>
      </c>
      <c r="B89" s="143"/>
      <c r="C89" s="144">
        <f t="shared" si="1"/>
        <v>70000</v>
      </c>
      <c r="D89" s="144">
        <v>15000</v>
      </c>
      <c r="E89" s="144">
        <v>25000</v>
      </c>
      <c r="F89" s="144">
        <f>20000</f>
        <v>20000</v>
      </c>
      <c r="G89" s="144">
        <f>10000</f>
        <v>10000</v>
      </c>
    </row>
    <row r="90" spans="1:8">
      <c r="A90" s="142" t="s">
        <v>249</v>
      </c>
      <c r="B90" s="143"/>
      <c r="C90" s="144">
        <f t="shared" si="1"/>
        <v>120000</v>
      </c>
      <c r="D90" s="144">
        <v>30000</v>
      </c>
      <c r="E90" s="144">
        <v>30000</v>
      </c>
      <c r="F90" s="144">
        <v>30000</v>
      </c>
      <c r="G90" s="144">
        <v>30000</v>
      </c>
    </row>
    <row r="91" spans="1:8" ht="25.5">
      <c r="A91" s="142" t="s">
        <v>250</v>
      </c>
      <c r="B91" s="143"/>
      <c r="C91" s="144">
        <f t="shared" ref="C91:C131" si="7">SUM(D91:G91)</f>
        <v>28000</v>
      </c>
      <c r="D91" s="144">
        <v>2000</v>
      </c>
      <c r="E91" s="144">
        <f>2000</f>
        <v>2000</v>
      </c>
      <c r="F91" s="144">
        <f>2000+10000</f>
        <v>12000</v>
      </c>
      <c r="G91" s="144">
        <f>2000+10000</f>
        <v>12000</v>
      </c>
    </row>
    <row r="92" spans="1:8" ht="25.5">
      <c r="A92" s="142" t="s">
        <v>251</v>
      </c>
      <c r="B92" s="143"/>
      <c r="C92" s="144">
        <f t="shared" si="7"/>
        <v>95000</v>
      </c>
      <c r="D92" s="144"/>
      <c r="E92" s="144">
        <f>5000</f>
        <v>5000</v>
      </c>
      <c r="F92" s="144">
        <f>5000+40000</f>
        <v>45000</v>
      </c>
      <c r="G92" s="144">
        <f>45000</f>
        <v>45000</v>
      </c>
    </row>
    <row r="93" spans="1:8" ht="25.5">
      <c r="A93" s="142" t="s">
        <v>252</v>
      </c>
      <c r="B93" s="143"/>
      <c r="C93" s="144">
        <f t="shared" si="7"/>
        <v>10500</v>
      </c>
      <c r="D93" s="144"/>
      <c r="E93" s="144"/>
      <c r="F93" s="144">
        <v>10500</v>
      </c>
      <c r="G93" s="144"/>
    </row>
    <row r="94" spans="1:8" ht="25.5">
      <c r="A94" s="142" t="s">
        <v>253</v>
      </c>
      <c r="B94" s="143"/>
      <c r="C94" s="144">
        <f t="shared" si="7"/>
        <v>146000</v>
      </c>
      <c r="D94" s="144">
        <v>5000</v>
      </c>
      <c r="E94" s="144">
        <f>5000</f>
        <v>5000</v>
      </c>
      <c r="F94" s="144">
        <f>5000+63000</f>
        <v>68000</v>
      </c>
      <c r="G94" s="144">
        <f>5000+63000</f>
        <v>68000</v>
      </c>
    </row>
    <row r="95" spans="1:8">
      <c r="A95" s="142" t="s">
        <v>254</v>
      </c>
      <c r="B95" s="143"/>
      <c r="C95" s="144">
        <f t="shared" si="7"/>
        <v>0</v>
      </c>
      <c r="D95" s="144"/>
      <c r="E95" s="144"/>
      <c r="F95" s="144"/>
      <c r="G95" s="144"/>
    </row>
    <row r="96" spans="1:8">
      <c r="A96" s="142" t="s">
        <v>255</v>
      </c>
      <c r="B96" s="143"/>
      <c r="C96" s="144">
        <f t="shared" si="7"/>
        <v>80000</v>
      </c>
      <c r="D96" s="144">
        <v>20000</v>
      </c>
      <c r="E96" s="144">
        <v>20000</v>
      </c>
      <c r="F96" s="144">
        <f>20000</f>
        <v>20000</v>
      </c>
      <c r="G96" s="144">
        <f>20000</f>
        <v>20000</v>
      </c>
    </row>
    <row r="97" spans="1:10">
      <c r="A97" s="142" t="s">
        <v>256</v>
      </c>
      <c r="B97" s="143"/>
      <c r="C97" s="144">
        <f t="shared" si="7"/>
        <v>50000</v>
      </c>
      <c r="D97" s="144"/>
      <c r="E97" s="144">
        <v>10000</v>
      </c>
      <c r="F97" s="144">
        <f>10000+10000</f>
        <v>20000</v>
      </c>
      <c r="G97" s="144">
        <f>10000+10000</f>
        <v>20000</v>
      </c>
    </row>
    <row r="98" spans="1:10">
      <c r="A98" s="160" t="s">
        <v>257</v>
      </c>
      <c r="B98" s="129">
        <v>142</v>
      </c>
      <c r="C98" s="138">
        <f t="shared" si="7"/>
        <v>72000</v>
      </c>
      <c r="D98" s="138">
        <v>18000</v>
      </c>
      <c r="E98" s="138">
        <v>18000</v>
      </c>
      <c r="F98" s="138">
        <v>18000</v>
      </c>
      <c r="G98" s="138">
        <v>18000</v>
      </c>
    </row>
    <row r="99" spans="1:10" ht="25.5">
      <c r="A99" s="128" t="s">
        <v>99</v>
      </c>
      <c r="B99" s="129">
        <v>143</v>
      </c>
      <c r="C99" s="138">
        <f t="shared" si="7"/>
        <v>52020</v>
      </c>
      <c r="D99" s="138">
        <f>SUM(D100:D106)</f>
        <v>7300</v>
      </c>
      <c r="E99" s="138">
        <f>SUM(E100:E106)</f>
        <v>7820</v>
      </c>
      <c r="F99" s="138">
        <f>SUM(F100:F106)</f>
        <v>18500</v>
      </c>
      <c r="G99" s="138">
        <f>SUM(G100:G106)</f>
        <v>18400</v>
      </c>
    </row>
    <row r="100" spans="1:10">
      <c r="A100" s="142" t="s">
        <v>258</v>
      </c>
      <c r="B100" s="143"/>
      <c r="C100" s="144">
        <f t="shared" si="7"/>
        <v>24600</v>
      </c>
      <c r="D100" s="144">
        <v>4400</v>
      </c>
      <c r="E100" s="144">
        <v>4400</v>
      </c>
      <c r="F100" s="144">
        <f>4400+3500</f>
        <v>7900</v>
      </c>
      <c r="G100" s="144">
        <f>4400+3500</f>
        <v>7900</v>
      </c>
    </row>
    <row r="101" spans="1:10">
      <c r="A101" s="148" t="s">
        <v>259</v>
      </c>
      <c r="B101" s="143"/>
      <c r="C101" s="144">
        <f t="shared" si="7"/>
        <v>4800</v>
      </c>
      <c r="D101" s="144">
        <v>400</v>
      </c>
      <c r="E101" s="144">
        <v>400</v>
      </c>
      <c r="F101" s="144">
        <f>400+1600</f>
        <v>2000</v>
      </c>
      <c r="G101" s="144">
        <f>400+1600</f>
        <v>2000</v>
      </c>
    </row>
    <row r="102" spans="1:10">
      <c r="A102" s="148" t="s">
        <v>260</v>
      </c>
      <c r="B102" s="143"/>
      <c r="C102" s="144">
        <f t="shared" si="7"/>
        <v>2200</v>
      </c>
      <c r="D102" s="144">
        <v>100</v>
      </c>
      <c r="E102" s="144">
        <v>100</v>
      </c>
      <c r="F102" s="144">
        <f>100+900</f>
        <v>1000</v>
      </c>
      <c r="G102" s="144">
        <f>100+900</f>
        <v>1000</v>
      </c>
    </row>
    <row r="103" spans="1:10">
      <c r="A103" s="148" t="s">
        <v>261</v>
      </c>
      <c r="B103" s="143"/>
      <c r="C103" s="144">
        <f t="shared" si="7"/>
        <v>2600</v>
      </c>
      <c r="D103" s="144">
        <v>300</v>
      </c>
      <c r="E103" s="144">
        <v>300</v>
      </c>
      <c r="F103" s="144">
        <f>150+850</f>
        <v>1000</v>
      </c>
      <c r="G103" s="144">
        <f>150+850</f>
        <v>1000</v>
      </c>
    </row>
    <row r="104" spans="1:10">
      <c r="A104" s="148" t="s">
        <v>262</v>
      </c>
      <c r="B104" s="143"/>
      <c r="C104" s="144">
        <f t="shared" si="7"/>
        <v>5000</v>
      </c>
      <c r="D104" s="144">
        <v>500</v>
      </c>
      <c r="E104" s="144">
        <v>500</v>
      </c>
      <c r="F104" s="144">
        <f>500+1500</f>
        <v>2000</v>
      </c>
      <c r="G104" s="144">
        <f>500+1500</f>
        <v>2000</v>
      </c>
    </row>
    <row r="105" spans="1:10">
      <c r="A105" s="148" t="s">
        <v>263</v>
      </c>
      <c r="B105" s="143"/>
      <c r="C105" s="144">
        <f t="shared" si="7"/>
        <v>10200</v>
      </c>
      <c r="D105" s="144">
        <v>1600</v>
      </c>
      <c r="E105" s="144">
        <v>1500</v>
      </c>
      <c r="F105" s="144">
        <f>1600+2000</f>
        <v>3600</v>
      </c>
      <c r="G105" s="144">
        <f>1500+2000</f>
        <v>3500</v>
      </c>
      <c r="J105" s="164"/>
    </row>
    <row r="106" spans="1:10">
      <c r="A106" s="148" t="s">
        <v>264</v>
      </c>
      <c r="B106" s="143"/>
      <c r="C106" s="144">
        <f t="shared" si="7"/>
        <v>2620</v>
      </c>
      <c r="D106" s="144"/>
      <c r="E106" s="144">
        <v>620</v>
      </c>
      <c r="F106" s="144">
        <v>1000</v>
      </c>
      <c r="G106" s="144">
        <v>1000</v>
      </c>
    </row>
    <row r="107" spans="1:10" ht="15" customHeight="1">
      <c r="A107" s="128" t="s">
        <v>100</v>
      </c>
      <c r="B107" s="129">
        <v>144</v>
      </c>
      <c r="C107" s="138">
        <f t="shared" si="7"/>
        <v>31100</v>
      </c>
      <c r="D107" s="138">
        <f>D108+D109</f>
        <v>7000</v>
      </c>
      <c r="E107" s="138">
        <f>E108+E109</f>
        <v>8000</v>
      </c>
      <c r="F107" s="138">
        <f>F108+F109</f>
        <v>16100</v>
      </c>
      <c r="G107" s="138">
        <f>G108+G109</f>
        <v>0</v>
      </c>
    </row>
    <row r="108" spans="1:10" ht="25.5">
      <c r="A108" s="142" t="s">
        <v>265</v>
      </c>
      <c r="B108" s="129"/>
      <c r="C108" s="144">
        <f t="shared" si="7"/>
        <v>31100</v>
      </c>
      <c r="D108" s="144">
        <v>7000</v>
      </c>
      <c r="E108" s="144">
        <v>8000</v>
      </c>
      <c r="F108" s="144">
        <f>7000+9100</f>
        <v>16100</v>
      </c>
      <c r="G108" s="144">
        <v>0</v>
      </c>
    </row>
    <row r="109" spans="1:10">
      <c r="A109" s="161"/>
      <c r="B109" s="129"/>
      <c r="C109" s="144">
        <f t="shared" si="7"/>
        <v>0</v>
      </c>
      <c r="D109" s="144"/>
      <c r="E109" s="144"/>
      <c r="F109" s="144"/>
      <c r="G109" s="144"/>
    </row>
    <row r="110" spans="1:10" ht="25.5">
      <c r="A110" s="128" t="s">
        <v>91</v>
      </c>
      <c r="B110" s="129">
        <v>260</v>
      </c>
      <c r="C110" s="138">
        <f t="shared" si="7"/>
        <v>1500</v>
      </c>
      <c r="D110" s="138">
        <v>500</v>
      </c>
      <c r="E110" s="138">
        <v>500</v>
      </c>
      <c r="F110" s="138"/>
      <c r="G110" s="138">
        <v>500</v>
      </c>
    </row>
    <row r="111" spans="1:10" ht="25.5">
      <c r="A111" s="128" t="s">
        <v>73</v>
      </c>
      <c r="B111" s="129">
        <v>270</v>
      </c>
      <c r="C111" s="138">
        <f t="shared" si="7"/>
        <v>82000</v>
      </c>
      <c r="D111" s="138">
        <f>SUM(D112+D113)</f>
        <v>20600</v>
      </c>
      <c r="E111" s="138">
        <f t="shared" ref="E111:G111" si="8">SUM(E112+E113)</f>
        <v>7400</v>
      </c>
      <c r="F111" s="138">
        <f t="shared" si="8"/>
        <v>28500</v>
      </c>
      <c r="G111" s="138">
        <f t="shared" si="8"/>
        <v>25500</v>
      </c>
    </row>
    <row r="112" spans="1:10" ht="34.5" customHeight="1">
      <c r="A112" s="142" t="s">
        <v>266</v>
      </c>
      <c r="B112" s="143"/>
      <c r="C112" s="144">
        <f t="shared" si="7"/>
        <v>27000</v>
      </c>
      <c r="D112" s="144"/>
      <c r="E112" s="144"/>
      <c r="F112" s="144">
        <f>4000+5000+4500</f>
        <v>13500</v>
      </c>
      <c r="G112" s="144">
        <f>4000+9500</f>
        <v>13500</v>
      </c>
    </row>
    <row r="113" spans="1:9">
      <c r="A113" s="142" t="s">
        <v>267</v>
      </c>
      <c r="B113" s="143"/>
      <c r="C113" s="144">
        <f t="shared" si="7"/>
        <v>55000</v>
      </c>
      <c r="D113" s="144">
        <f>5000+15600</f>
        <v>20600</v>
      </c>
      <c r="E113" s="144">
        <f>7400</f>
        <v>7400</v>
      </c>
      <c r="F113" s="144">
        <f>15000</f>
        <v>15000</v>
      </c>
      <c r="G113" s="144">
        <v>12000</v>
      </c>
    </row>
    <row r="114" spans="1:9" ht="25.5">
      <c r="A114" s="128" t="s">
        <v>268</v>
      </c>
      <c r="B114" s="129">
        <v>280</v>
      </c>
      <c r="C114" s="138">
        <f t="shared" si="7"/>
        <v>314000</v>
      </c>
      <c r="D114" s="138">
        <f>SUM(D115:D120)</f>
        <v>34000</v>
      </c>
      <c r="E114" s="138">
        <f>SUM(E115:E120)</f>
        <v>35000</v>
      </c>
      <c r="F114" s="138">
        <f>SUM(F115:F120)</f>
        <v>119000</v>
      </c>
      <c r="G114" s="138">
        <f>SUM(G115:G120)</f>
        <v>126000</v>
      </c>
    </row>
    <row r="115" spans="1:9">
      <c r="A115" s="148" t="s">
        <v>123</v>
      </c>
      <c r="B115" s="143"/>
      <c r="C115" s="144">
        <f t="shared" si="7"/>
        <v>25000</v>
      </c>
      <c r="D115" s="144"/>
      <c r="E115" s="144"/>
      <c r="F115" s="144">
        <v>10000</v>
      </c>
      <c r="G115" s="144">
        <v>15000</v>
      </c>
    </row>
    <row r="116" spans="1:9">
      <c r="A116" s="148" t="s">
        <v>269</v>
      </c>
      <c r="B116" s="143"/>
      <c r="C116" s="144">
        <f t="shared" si="7"/>
        <v>0</v>
      </c>
      <c r="D116" s="144"/>
      <c r="E116" s="144"/>
      <c r="F116" s="144"/>
      <c r="G116" s="144"/>
    </row>
    <row r="117" spans="1:9">
      <c r="A117" s="148" t="s">
        <v>130</v>
      </c>
      <c r="B117" s="143"/>
      <c r="C117" s="144">
        <f t="shared" si="7"/>
        <v>120000</v>
      </c>
      <c r="D117" s="144">
        <f>10000+20000</f>
        <v>30000</v>
      </c>
      <c r="E117" s="144">
        <v>30000</v>
      </c>
      <c r="F117" s="144">
        <v>30000</v>
      </c>
      <c r="G117" s="144">
        <f>10000+20000</f>
        <v>30000</v>
      </c>
    </row>
    <row r="118" spans="1:9">
      <c r="A118" s="148" t="s">
        <v>146</v>
      </c>
      <c r="B118" s="143"/>
      <c r="C118" s="144">
        <f t="shared" si="7"/>
        <v>145000</v>
      </c>
      <c r="D118" s="144"/>
      <c r="E118" s="144"/>
      <c r="F118" s="144">
        <f>66000+6000</f>
        <v>72000</v>
      </c>
      <c r="G118" s="144">
        <f>66000+7000</f>
        <v>73000</v>
      </c>
    </row>
    <row r="119" spans="1:9">
      <c r="A119" s="148" t="s">
        <v>124</v>
      </c>
      <c r="B119" s="143"/>
      <c r="C119" s="144">
        <f t="shared" si="7"/>
        <v>10000</v>
      </c>
      <c r="D119" s="144">
        <f>2500-2000</f>
        <v>500</v>
      </c>
      <c r="E119" s="144">
        <v>2500</v>
      </c>
      <c r="F119" s="144">
        <f>2500+1000</f>
        <v>3500</v>
      </c>
      <c r="G119" s="144">
        <f>2500+1000</f>
        <v>3500</v>
      </c>
    </row>
    <row r="120" spans="1:9">
      <c r="A120" s="148" t="s">
        <v>270</v>
      </c>
      <c r="B120" s="143"/>
      <c r="C120" s="144">
        <f t="shared" si="7"/>
        <v>14000</v>
      </c>
      <c r="D120" s="144">
        <f>2500+1000</f>
        <v>3500</v>
      </c>
      <c r="E120" s="144">
        <v>2500</v>
      </c>
      <c r="F120" s="144">
        <f>2500-1000+2000</f>
        <v>3500</v>
      </c>
      <c r="G120" s="144">
        <f>2000+2500</f>
        <v>4500</v>
      </c>
    </row>
    <row r="121" spans="1:9" ht="25.5">
      <c r="A121" s="128" t="s">
        <v>271</v>
      </c>
      <c r="B121" s="129">
        <v>512</v>
      </c>
      <c r="C121" s="138">
        <f t="shared" si="7"/>
        <v>735250</v>
      </c>
      <c r="D121" s="138">
        <f>SUM(D122:D124)</f>
        <v>0</v>
      </c>
      <c r="E121" s="138">
        <f>SUM(E122:E124)</f>
        <v>143900</v>
      </c>
      <c r="F121" s="138">
        <f>SUM(F122:F123)</f>
        <v>570000</v>
      </c>
      <c r="G121" s="138">
        <f>SUM(G122:G123)</f>
        <v>21350</v>
      </c>
    </row>
    <row r="122" spans="1:9">
      <c r="A122" s="148" t="s">
        <v>272</v>
      </c>
      <c r="B122" s="143"/>
      <c r="C122" s="144">
        <f t="shared" si="7"/>
        <v>40000</v>
      </c>
      <c r="D122" s="165"/>
      <c r="E122" s="144">
        <f>10000+10000</f>
        <v>20000</v>
      </c>
      <c r="F122" s="144">
        <f>10000</f>
        <v>10000</v>
      </c>
      <c r="G122" s="144">
        <f>10000</f>
        <v>10000</v>
      </c>
    </row>
    <row r="123" spans="1:9">
      <c r="A123" s="142" t="s">
        <v>273</v>
      </c>
      <c r="B123" s="143"/>
      <c r="C123" s="144">
        <f t="shared" si="7"/>
        <v>571350</v>
      </c>
      <c r="D123" s="144"/>
      <c r="E123" s="144"/>
      <c r="F123" s="144">
        <f>40000+20000+500000</f>
        <v>560000</v>
      </c>
      <c r="G123" s="144">
        <v>11350</v>
      </c>
      <c r="H123" s="145"/>
      <c r="I123" s="145"/>
    </row>
    <row r="124" spans="1:9" ht="25.5">
      <c r="A124" s="142" t="s">
        <v>274</v>
      </c>
      <c r="B124" s="143"/>
      <c r="C124" s="144">
        <f t="shared" si="7"/>
        <v>123900</v>
      </c>
      <c r="D124" s="144"/>
      <c r="E124" s="144">
        <v>123900</v>
      </c>
      <c r="F124" s="144"/>
      <c r="G124" s="144"/>
    </row>
    <row r="125" spans="1:9" ht="38.25">
      <c r="A125" s="128" t="s">
        <v>275</v>
      </c>
      <c r="B125" s="129">
        <v>513</v>
      </c>
      <c r="C125" s="138">
        <f t="shared" si="7"/>
        <v>24000</v>
      </c>
      <c r="D125" s="138">
        <f>SUM(D126+D127)</f>
        <v>0</v>
      </c>
      <c r="E125" s="138">
        <f t="shared" ref="E125:G125" si="9">SUM(E126+E127)</f>
        <v>9000</v>
      </c>
      <c r="F125" s="138">
        <f t="shared" si="9"/>
        <v>15000</v>
      </c>
      <c r="G125" s="138">
        <f t="shared" si="9"/>
        <v>0</v>
      </c>
    </row>
    <row r="126" spans="1:9">
      <c r="A126" s="147" t="s">
        <v>276</v>
      </c>
      <c r="B126" s="143"/>
      <c r="C126" s="144">
        <f t="shared" si="7"/>
        <v>14000</v>
      </c>
      <c r="D126" s="144"/>
      <c r="E126" s="144">
        <v>4000</v>
      </c>
      <c r="F126" s="144">
        <f>4000+6000</f>
        <v>10000</v>
      </c>
      <c r="G126" s="144">
        <v>0</v>
      </c>
    </row>
    <row r="127" spans="1:9">
      <c r="A127" s="147" t="s">
        <v>277</v>
      </c>
      <c r="B127" s="143"/>
      <c r="C127" s="144">
        <f t="shared" si="7"/>
        <v>10000</v>
      </c>
      <c r="D127" s="144"/>
      <c r="E127" s="144">
        <v>5000</v>
      </c>
      <c r="F127" s="144">
        <v>5000</v>
      </c>
      <c r="G127" s="144">
        <v>0</v>
      </c>
    </row>
    <row r="128" spans="1:9">
      <c r="A128" s="166" t="s">
        <v>278</v>
      </c>
      <c r="B128" s="167"/>
      <c r="C128" s="138">
        <f t="shared" si="7"/>
        <v>47320659</v>
      </c>
      <c r="D128" s="168">
        <f>D10+D15+D16+D17+D18+D19+D20+D21+D23+D38+D49+D50+D51+D52+D53+D54+D55+D58+D59+D60+D62+D63+D65+D68+D72+D75+D76+D79+D81+D98+D99+D107+D110+D111+D114+D121+D125</f>
        <v>9702300</v>
      </c>
      <c r="E128" s="168">
        <f>E10+E15+E16+E17+E18+E19+E20+E21+E23+E38+E49+E50+E51+E52+E53+E54+E55+E58+E59+E60+E62+E63+E65+E68+E72+E75+E76+E79+E81+E98+E99+E107+E110+E111+E114+E121+E125</f>
        <v>11297092</v>
      </c>
      <c r="F128" s="168">
        <f>F10+F15+F16+F17+F18+F19+F20+F21+F23+F38+F49+F50+F51+F52+F53+F54+F55+F58+F59+F60+F62+F63+F65+F68+F72+F75+F76+F79+F81+F98+F99+F107+F110+F111+F114+F121+F125</f>
        <v>13979767</v>
      </c>
      <c r="G128" s="168">
        <f>G10+G15+G16+G17+G18+G19+G20+G21+G23+G38+G49+G50+G51+G52+G53+G54+G55+G58+G59+G60+G62+G63+G65+G68+G72+G75+G76+G79+G81+G98+G99+G107+G110+G111+G114+G121+G125</f>
        <v>12341500</v>
      </c>
    </row>
    <row r="129" spans="1:8">
      <c r="A129" s="148" t="s">
        <v>279</v>
      </c>
      <c r="B129" s="129">
        <v>160</v>
      </c>
      <c r="C129" s="138">
        <f t="shared" si="7"/>
        <v>1575900</v>
      </c>
      <c r="D129" s="129">
        <v>289100</v>
      </c>
      <c r="E129" s="160">
        <v>435000</v>
      </c>
      <c r="F129" s="160">
        <v>412400</v>
      </c>
      <c r="G129" s="169">
        <v>439400</v>
      </c>
      <c r="H129" s="135"/>
    </row>
    <row r="130" spans="1:8" ht="25.5">
      <c r="A130" s="147" t="s">
        <v>280</v>
      </c>
      <c r="B130" s="143"/>
      <c r="C130" s="144">
        <f t="shared" si="7"/>
        <v>386200</v>
      </c>
      <c r="D130" s="148">
        <f>16200</f>
        <v>16200</v>
      </c>
      <c r="E130" s="148">
        <v>370000</v>
      </c>
      <c r="F130" s="148"/>
      <c r="G130" s="148"/>
    </row>
    <row r="131" spans="1:8">
      <c r="A131" s="170" t="s">
        <v>281</v>
      </c>
      <c r="B131" s="170"/>
      <c r="C131" s="171">
        <f t="shared" si="7"/>
        <v>49282759</v>
      </c>
      <c r="D131" s="171">
        <f>D128+D129+D130</f>
        <v>10007600</v>
      </c>
      <c r="E131" s="171">
        <f>E128+E129+E130</f>
        <v>12102092</v>
      </c>
      <c r="F131" s="171">
        <f>F128+F129+F130</f>
        <v>14392167</v>
      </c>
      <c r="G131" s="171">
        <f>G128+G129+G130</f>
        <v>12780900</v>
      </c>
    </row>
    <row r="132" spans="1:8">
      <c r="A132" s="148" t="s">
        <v>282</v>
      </c>
      <c r="B132" s="143"/>
      <c r="C132" s="172">
        <f>C131</f>
        <v>49282759</v>
      </c>
      <c r="D132" s="172">
        <f>D131</f>
        <v>10007600</v>
      </c>
      <c r="E132" s="172">
        <f t="shared" ref="E132:G132" si="10">E131</f>
        <v>12102092</v>
      </c>
      <c r="F132" s="172">
        <f t="shared" si="10"/>
        <v>14392167</v>
      </c>
      <c r="G132" s="172">
        <f t="shared" si="10"/>
        <v>12780900</v>
      </c>
    </row>
    <row r="134" spans="1:8">
      <c r="A134" s="160" t="s">
        <v>283</v>
      </c>
      <c r="B134" s="129"/>
      <c r="C134" s="130">
        <f>D134+E134+F134+G134</f>
        <v>49365600</v>
      </c>
      <c r="D134" s="160">
        <v>10020400</v>
      </c>
      <c r="E134" s="160">
        <v>12105200</v>
      </c>
      <c r="F134" s="160">
        <v>14459100</v>
      </c>
      <c r="G134" s="160">
        <v>12780900</v>
      </c>
    </row>
    <row r="136" spans="1:8">
      <c r="A136" s="148" t="s">
        <v>284</v>
      </c>
      <c r="B136" s="143"/>
      <c r="C136" s="130">
        <f>D136+E136+F136+G136</f>
        <v>82841</v>
      </c>
      <c r="D136" s="130">
        <f>D134-D131</f>
        <v>12800</v>
      </c>
      <c r="E136" s="130">
        <f>E134-E131</f>
        <v>3108</v>
      </c>
      <c r="F136" s="130">
        <f>F134-F131</f>
        <v>66933</v>
      </c>
      <c r="G136" s="130">
        <f>G134-G131</f>
        <v>0</v>
      </c>
    </row>
    <row r="139" spans="1:8">
      <c r="A139" s="224" t="s">
        <v>285</v>
      </c>
      <c r="B139" s="224"/>
      <c r="C139" s="224"/>
      <c r="D139" s="224"/>
      <c r="E139" s="224"/>
      <c r="F139" s="224"/>
      <c r="G139" s="224"/>
    </row>
    <row r="142" spans="1:8">
      <c r="A142" s="224" t="s">
        <v>286</v>
      </c>
      <c r="B142" s="224"/>
      <c r="C142" s="224"/>
      <c r="D142" s="224"/>
      <c r="E142" s="224"/>
      <c r="F142" s="224"/>
      <c r="G142" s="224"/>
    </row>
  </sheetData>
  <mergeCells count="4">
    <mergeCell ref="A1:G1"/>
    <mergeCell ref="A2:G2"/>
    <mergeCell ref="A139:G139"/>
    <mergeCell ref="A142:G14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31"/>
  <sheetViews>
    <sheetView workbookViewId="0">
      <selection activeCell="N9" sqref="N8:N9"/>
    </sheetView>
  </sheetViews>
  <sheetFormatPr defaultRowHeight="12.75"/>
  <cols>
    <col min="2" max="2" width="40.7109375" customWidth="1"/>
  </cols>
  <sheetData>
    <row r="3" spans="2:9" ht="18">
      <c r="B3" s="225" t="s">
        <v>295</v>
      </c>
      <c r="C3" s="224"/>
      <c r="D3" s="224"/>
      <c r="E3" s="224"/>
      <c r="F3" s="224"/>
      <c r="G3" s="224"/>
      <c r="H3" s="224"/>
      <c r="I3" s="224"/>
    </row>
    <row r="4" spans="2:9" ht="15.75">
      <c r="B4" s="226" t="s">
        <v>299</v>
      </c>
      <c r="C4" s="226"/>
      <c r="D4" s="226"/>
      <c r="E4" s="226"/>
      <c r="F4" s="226"/>
      <c r="G4" s="226"/>
      <c r="H4" s="226"/>
      <c r="I4" s="226"/>
    </row>
    <row r="5" spans="2:9" ht="15.75">
      <c r="B5" s="175"/>
      <c r="C5" s="176"/>
      <c r="D5" s="176"/>
      <c r="E5" s="177" t="s">
        <v>288</v>
      </c>
      <c r="F5" s="177" t="s">
        <v>289</v>
      </c>
      <c r="G5" s="177" t="s">
        <v>290</v>
      </c>
      <c r="H5" s="177" t="s">
        <v>296</v>
      </c>
      <c r="I5" s="177" t="s">
        <v>291</v>
      </c>
    </row>
    <row r="6" spans="2:9" ht="31.5">
      <c r="B6" s="178" t="s">
        <v>292</v>
      </c>
      <c r="C6" s="179">
        <v>160</v>
      </c>
      <c r="D6" s="180"/>
      <c r="E6" s="181">
        <f>E7+E13+E16+E20+E25</f>
        <v>289.10000000000002</v>
      </c>
      <c r="F6" s="181">
        <f t="shared" ref="F6:H6" si="0">F7+F13+F16+F20+F25</f>
        <v>435</v>
      </c>
      <c r="G6" s="181">
        <f t="shared" si="0"/>
        <v>412.4</v>
      </c>
      <c r="H6" s="181">
        <f t="shared" si="0"/>
        <v>439.4</v>
      </c>
      <c r="I6" s="181">
        <f>SUM(E6:H6)</f>
        <v>1575.9</v>
      </c>
    </row>
    <row r="7" spans="2:9" ht="30.75">
      <c r="B7" s="190" t="s">
        <v>293</v>
      </c>
      <c r="C7" s="177">
        <v>161</v>
      </c>
      <c r="D7" s="188"/>
      <c r="E7" s="189">
        <f t="shared" ref="E7:H7" si="1">E8+E9+E10+E11+E12</f>
        <v>146</v>
      </c>
      <c r="F7" s="189">
        <f t="shared" si="1"/>
        <v>246.4</v>
      </c>
      <c r="G7" s="189">
        <f t="shared" si="1"/>
        <v>164</v>
      </c>
      <c r="H7" s="189">
        <f t="shared" si="1"/>
        <v>173.6</v>
      </c>
      <c r="I7" s="189">
        <f>E7+F7+G7+H7</f>
        <v>730</v>
      </c>
    </row>
    <row r="8" spans="2:9" ht="15.75">
      <c r="B8" s="182" t="s">
        <v>172</v>
      </c>
      <c r="C8" s="177"/>
      <c r="D8" s="184"/>
      <c r="E8" s="184">
        <v>146</v>
      </c>
      <c r="F8" s="184">
        <v>147.4</v>
      </c>
      <c r="G8" s="184">
        <v>64</v>
      </c>
      <c r="H8" s="184">
        <v>62.6</v>
      </c>
      <c r="I8" s="185">
        <f t="shared" ref="I8:I28" si="2">E8+F8+G8+H8</f>
        <v>420</v>
      </c>
    </row>
    <row r="9" spans="2:9" ht="15.75">
      <c r="B9" s="182" t="s">
        <v>148</v>
      </c>
      <c r="C9" s="177"/>
      <c r="D9" s="184"/>
      <c r="E9" s="184"/>
      <c r="F9" s="184">
        <v>30</v>
      </c>
      <c r="G9" s="184">
        <v>30</v>
      </c>
      <c r="H9" s="184">
        <v>40</v>
      </c>
      <c r="I9" s="185">
        <f t="shared" si="2"/>
        <v>100</v>
      </c>
    </row>
    <row r="10" spans="2:9" ht="15.75">
      <c r="B10" s="182" t="s">
        <v>169</v>
      </c>
      <c r="C10" s="177"/>
      <c r="D10" s="184"/>
      <c r="E10" s="184"/>
      <c r="F10" s="184">
        <v>36</v>
      </c>
      <c r="G10" s="184">
        <v>37</v>
      </c>
      <c r="H10" s="184">
        <v>37</v>
      </c>
      <c r="I10" s="185">
        <f t="shared" si="2"/>
        <v>110</v>
      </c>
    </row>
    <row r="11" spans="2:9" ht="15.75">
      <c r="B11" s="182" t="s">
        <v>170</v>
      </c>
      <c r="C11" s="177"/>
      <c r="D11" s="184"/>
      <c r="E11" s="184"/>
      <c r="F11" s="184">
        <v>13</v>
      </c>
      <c r="G11" s="184">
        <v>13</v>
      </c>
      <c r="H11" s="184">
        <v>14</v>
      </c>
      <c r="I11" s="185">
        <f t="shared" si="2"/>
        <v>40</v>
      </c>
    </row>
    <row r="12" spans="2:9" ht="15.75">
      <c r="B12" s="182" t="s">
        <v>147</v>
      </c>
      <c r="C12" s="177"/>
      <c r="D12" s="184"/>
      <c r="E12" s="184"/>
      <c r="F12" s="184">
        <v>20</v>
      </c>
      <c r="G12" s="184">
        <v>20</v>
      </c>
      <c r="H12" s="184">
        <v>20</v>
      </c>
      <c r="I12" s="185">
        <f t="shared" si="2"/>
        <v>60</v>
      </c>
    </row>
    <row r="13" spans="2:9" ht="30.75">
      <c r="B13" s="190" t="s">
        <v>294</v>
      </c>
      <c r="C13" s="177">
        <v>162</v>
      </c>
      <c r="D13" s="188"/>
      <c r="E13" s="189">
        <f>E14+E15</f>
        <v>0</v>
      </c>
      <c r="F13" s="189">
        <f>F14+F15</f>
        <v>14.8</v>
      </c>
      <c r="G13" s="189">
        <f t="shared" ref="G13:H13" si="3">G14+G15</f>
        <v>21.2</v>
      </c>
      <c r="H13" s="189">
        <f t="shared" si="3"/>
        <v>18.8</v>
      </c>
      <c r="I13" s="189">
        <f t="shared" si="2"/>
        <v>54.8</v>
      </c>
    </row>
    <row r="14" spans="2:9" ht="15.75">
      <c r="B14" s="182" t="s">
        <v>172</v>
      </c>
      <c r="C14" s="177"/>
      <c r="D14" s="188"/>
      <c r="E14" s="188"/>
      <c r="F14" s="184">
        <v>12.6</v>
      </c>
      <c r="G14" s="184">
        <v>19</v>
      </c>
      <c r="H14" s="184">
        <v>16.600000000000001</v>
      </c>
      <c r="I14" s="185">
        <f t="shared" si="2"/>
        <v>48.2</v>
      </c>
    </row>
    <row r="15" spans="2:9" ht="15.75">
      <c r="B15" s="182" t="s">
        <v>170</v>
      </c>
      <c r="C15" s="177"/>
      <c r="D15" s="188"/>
      <c r="E15" s="188"/>
      <c r="F15" s="184">
        <v>2.2000000000000002</v>
      </c>
      <c r="G15" s="184">
        <v>2.2000000000000002</v>
      </c>
      <c r="H15" s="184">
        <v>2.2000000000000002</v>
      </c>
      <c r="I15" s="185">
        <f t="shared" si="2"/>
        <v>6.6000000000000005</v>
      </c>
    </row>
    <row r="16" spans="2:9" ht="15.75">
      <c r="B16" s="191" t="s">
        <v>116</v>
      </c>
      <c r="C16" s="177">
        <v>163</v>
      </c>
      <c r="D16" s="188"/>
      <c r="E16" s="189">
        <f>E17+E18+E19</f>
        <v>65.099999999999994</v>
      </c>
      <c r="F16" s="189">
        <f>F17+F18+F19</f>
        <v>116.7</v>
      </c>
      <c r="G16" s="189">
        <f t="shared" ref="G16:H16" si="4">G17+G18+G19</f>
        <v>108.2</v>
      </c>
      <c r="H16" s="189">
        <f t="shared" si="4"/>
        <v>148</v>
      </c>
      <c r="I16" s="189">
        <f t="shared" si="2"/>
        <v>438</v>
      </c>
    </row>
    <row r="17" spans="2:9" ht="15">
      <c r="B17" s="186" t="s">
        <v>172</v>
      </c>
      <c r="C17" s="187"/>
      <c r="D17" s="184"/>
      <c r="E17" s="184">
        <v>65.099999999999994</v>
      </c>
      <c r="F17" s="184">
        <v>40.700000000000003</v>
      </c>
      <c r="G17" s="184">
        <v>26.2</v>
      </c>
      <c r="H17" s="184">
        <v>66</v>
      </c>
      <c r="I17" s="185">
        <f t="shared" si="2"/>
        <v>198</v>
      </c>
    </row>
    <row r="18" spans="2:9" ht="15">
      <c r="B18" s="186" t="s">
        <v>148</v>
      </c>
      <c r="C18" s="187"/>
      <c r="D18" s="184"/>
      <c r="E18" s="184"/>
      <c r="F18" s="184">
        <v>46</v>
      </c>
      <c r="G18" s="184">
        <v>47</v>
      </c>
      <c r="H18" s="184">
        <v>47</v>
      </c>
      <c r="I18" s="185">
        <f t="shared" si="2"/>
        <v>140</v>
      </c>
    </row>
    <row r="19" spans="2:9" ht="15">
      <c r="B19" s="186" t="s">
        <v>147</v>
      </c>
      <c r="C19" s="187"/>
      <c r="D19" s="184"/>
      <c r="E19" s="184"/>
      <c r="F19" s="184">
        <v>30</v>
      </c>
      <c r="G19" s="184">
        <v>35</v>
      </c>
      <c r="H19" s="184">
        <v>35</v>
      </c>
      <c r="I19" s="185">
        <f t="shared" si="2"/>
        <v>100</v>
      </c>
    </row>
    <row r="20" spans="2:9" ht="15.75">
      <c r="B20" s="183" t="s">
        <v>50</v>
      </c>
      <c r="C20" s="177">
        <v>164</v>
      </c>
      <c r="D20" s="188"/>
      <c r="E20" s="189">
        <f>E21+E22+E23+E24</f>
        <v>9</v>
      </c>
      <c r="F20" s="189">
        <f t="shared" ref="F20:H20" si="5">F21+F22+F23+F24</f>
        <v>0</v>
      </c>
      <c r="G20" s="189">
        <f t="shared" si="5"/>
        <v>49</v>
      </c>
      <c r="H20" s="189">
        <f t="shared" si="5"/>
        <v>14</v>
      </c>
      <c r="I20" s="189">
        <f t="shared" si="2"/>
        <v>72</v>
      </c>
    </row>
    <row r="21" spans="2:9" ht="15">
      <c r="B21" s="187" t="s">
        <v>148</v>
      </c>
      <c r="C21" s="176"/>
      <c r="D21" s="188"/>
      <c r="E21" s="188">
        <v>9</v>
      </c>
      <c r="F21" s="188">
        <v>0</v>
      </c>
      <c r="G21" s="188">
        <v>8</v>
      </c>
      <c r="H21" s="188">
        <v>2</v>
      </c>
      <c r="I21" s="188">
        <f t="shared" si="2"/>
        <v>19</v>
      </c>
    </row>
    <row r="22" spans="2:9" ht="15">
      <c r="B22" s="187" t="s">
        <v>169</v>
      </c>
      <c r="C22" s="176"/>
      <c r="D22" s="188"/>
      <c r="E22" s="188"/>
      <c r="F22" s="188"/>
      <c r="G22" s="188">
        <v>15</v>
      </c>
      <c r="H22" s="188">
        <v>5</v>
      </c>
      <c r="I22" s="188">
        <f t="shared" si="2"/>
        <v>20</v>
      </c>
    </row>
    <row r="23" spans="2:9" ht="15">
      <c r="B23" s="187" t="s">
        <v>170</v>
      </c>
      <c r="C23" s="176"/>
      <c r="D23" s="188"/>
      <c r="E23" s="188"/>
      <c r="F23" s="188"/>
      <c r="G23" s="188">
        <v>11</v>
      </c>
      <c r="H23" s="188"/>
      <c r="I23" s="188">
        <f t="shared" si="2"/>
        <v>11</v>
      </c>
    </row>
    <row r="24" spans="2:9" ht="15">
      <c r="B24" s="187" t="s">
        <v>147</v>
      </c>
      <c r="C24" s="176"/>
      <c r="D24" s="188"/>
      <c r="E24" s="188"/>
      <c r="F24" s="188"/>
      <c r="G24" s="188">
        <v>15</v>
      </c>
      <c r="H24" s="188">
        <v>7</v>
      </c>
      <c r="I24" s="188">
        <f t="shared" si="2"/>
        <v>22</v>
      </c>
    </row>
    <row r="25" spans="2:9" ht="15.75">
      <c r="B25" s="183" t="s">
        <v>97</v>
      </c>
      <c r="C25" s="177">
        <v>165</v>
      </c>
      <c r="D25" s="188"/>
      <c r="E25" s="189">
        <v>69</v>
      </c>
      <c r="F25" s="189">
        <v>57.1</v>
      </c>
      <c r="G25" s="189">
        <v>70</v>
      </c>
      <c r="H25" s="189">
        <v>85</v>
      </c>
      <c r="I25" s="189">
        <f t="shared" si="2"/>
        <v>281.10000000000002</v>
      </c>
    </row>
    <row r="26" spans="2:9" ht="15.75">
      <c r="B26" s="187"/>
      <c r="C26" s="177"/>
      <c r="D26" s="188"/>
      <c r="E26" s="188"/>
      <c r="F26" s="188"/>
      <c r="G26" s="188"/>
      <c r="H26" s="188"/>
      <c r="I26" s="189">
        <f t="shared" si="2"/>
        <v>0</v>
      </c>
    </row>
    <row r="27" spans="2:9" ht="15.75">
      <c r="B27" s="187"/>
      <c r="C27" s="177"/>
      <c r="D27" s="188"/>
      <c r="E27" s="188"/>
      <c r="F27" s="188"/>
      <c r="G27" s="188"/>
      <c r="H27" s="188"/>
      <c r="I27" s="189">
        <f t="shared" si="2"/>
        <v>0</v>
      </c>
    </row>
    <row r="28" spans="2:9" ht="15.75">
      <c r="B28" s="187"/>
      <c r="C28" s="177"/>
      <c r="D28" s="188"/>
      <c r="E28" s="188"/>
      <c r="F28" s="188"/>
      <c r="G28" s="188"/>
      <c r="H28" s="188"/>
      <c r="I28" s="189">
        <f t="shared" si="2"/>
        <v>0</v>
      </c>
    </row>
    <row r="31" spans="2:9" ht="15.75">
      <c r="B31" s="227"/>
      <c r="C31" s="227"/>
      <c r="D31" s="227"/>
      <c r="E31" s="227"/>
      <c r="F31" s="174"/>
      <c r="G31" s="174"/>
      <c r="H31" s="174"/>
      <c r="I31" s="174"/>
    </row>
  </sheetData>
  <mergeCells count="3">
    <mergeCell ref="B3:I3"/>
    <mergeCell ref="B4:I4"/>
    <mergeCell ref="B31:E31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ФП на 01.12.21р</vt:lpstr>
      <vt:lpstr>по статтях на 01.12.2021</vt:lpstr>
      <vt:lpstr>комунальні</vt:lpstr>
    </vt:vector>
  </TitlesOfParts>
  <Company>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admin</cp:lastModifiedBy>
  <cp:lastPrinted>2021-12-31T06:38:42Z</cp:lastPrinted>
  <dcterms:created xsi:type="dcterms:W3CDTF">2003-03-13T16:00:22Z</dcterms:created>
  <dcterms:modified xsi:type="dcterms:W3CDTF">2021-12-31T06:39:02Z</dcterms:modified>
</cp:coreProperties>
</file>